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15" windowWidth="14310" windowHeight="6420"/>
  </bookViews>
  <sheets>
    <sheet name="Summary" sheetId="10" r:id="rId1"/>
    <sheet name="Calculations" sheetId="3" r:id="rId2"/>
    <sheet name="rainfall CIMIS" sheetId="2" r:id="rId3"/>
    <sheet name="Static Water Levels" sheetId="4" r:id="rId4"/>
    <sheet name="Water Usage by Water Year" sheetId="5" r:id="rId5"/>
    <sheet name="2013 Water Production" sheetId="7" r:id="rId6"/>
    <sheet name="2014 Water Production" sheetId="6" r:id="rId7"/>
    <sheet name="2015 Water Production" sheetId="8" r:id="rId8"/>
    <sheet name="Lost Production for 2013-2014" sheetId="9" r:id="rId9"/>
    <sheet name="Sheet1" sheetId="11" r:id="rId10"/>
  </sheets>
  <calcPr calcId="145621"/>
</workbook>
</file>

<file path=xl/calcChain.xml><?xml version="1.0" encoding="utf-8"?>
<calcChain xmlns="http://schemas.openxmlformats.org/spreadsheetml/2006/main">
  <c r="F5" i="3" l="1"/>
  <c r="F4" i="3"/>
  <c r="T14" i="5"/>
  <c r="I6" i="3" l="1"/>
  <c r="I5" i="3"/>
  <c r="I4" i="3"/>
  <c r="S14" i="5" l="1"/>
  <c r="C6" i="5" l="1"/>
  <c r="O14" i="5" l="1"/>
  <c r="E5" i="3" l="1"/>
  <c r="B62" i="9" l="1"/>
  <c r="E60" i="9"/>
  <c r="D60" i="9"/>
  <c r="C60" i="9"/>
  <c r="B60" i="9"/>
  <c r="E59" i="9"/>
  <c r="D59" i="9"/>
  <c r="C59" i="9"/>
  <c r="B59" i="9"/>
  <c r="E57" i="9"/>
  <c r="D57" i="9"/>
  <c r="C57" i="9"/>
  <c r="B57" i="9"/>
  <c r="E55" i="9"/>
  <c r="D55" i="9"/>
  <c r="C55" i="9"/>
  <c r="B55" i="9"/>
  <c r="E40" i="9"/>
  <c r="E41" i="9" s="1"/>
  <c r="D40" i="9"/>
  <c r="D41" i="9" s="1"/>
  <c r="C40" i="9"/>
  <c r="C41" i="9" s="1"/>
  <c r="B40" i="9"/>
  <c r="B41" i="9" s="1"/>
  <c r="A32" i="9"/>
  <c r="A33" i="9" s="1"/>
  <c r="A34" i="9" s="1"/>
  <c r="A35" i="9" s="1"/>
  <c r="A36" i="9" s="1"/>
  <c r="A37" i="9" s="1"/>
  <c r="A38" i="9" s="1"/>
  <c r="A39" i="9" s="1"/>
  <c r="BF33" i="8"/>
  <c r="X31" i="8"/>
  <c r="W31" i="8"/>
  <c r="Q31" i="8"/>
  <c r="X30" i="8"/>
  <c r="W30" i="8"/>
  <c r="Q30" i="8"/>
  <c r="M30" i="8"/>
  <c r="L30" i="8"/>
  <c r="K30" i="8"/>
  <c r="J30" i="8"/>
  <c r="I30" i="8"/>
  <c r="H30" i="8"/>
  <c r="G30" i="8"/>
  <c r="F30" i="8"/>
  <c r="E30" i="8"/>
  <c r="D30" i="8"/>
  <c r="C30" i="8"/>
  <c r="N30" i="8" s="1"/>
  <c r="B30" i="8"/>
  <c r="X29" i="8"/>
  <c r="W29" i="8"/>
  <c r="Q29" i="8"/>
  <c r="N29" i="8"/>
  <c r="X28" i="8"/>
  <c r="W28" i="8"/>
  <c r="Q28" i="8"/>
  <c r="X27" i="8"/>
  <c r="W27" i="8"/>
  <c r="U27" i="8"/>
  <c r="Q27" i="8"/>
  <c r="N27" i="8"/>
  <c r="X26" i="8"/>
  <c r="W26" i="8"/>
  <c r="Q26" i="8"/>
  <c r="BF25" i="8"/>
  <c r="X25" i="8"/>
  <c r="W25" i="8"/>
  <c r="Q25" i="8"/>
  <c r="O25" i="8"/>
  <c r="BF24" i="8"/>
  <c r="X24" i="8"/>
  <c r="W24" i="8"/>
  <c r="Q24" i="8"/>
  <c r="O24" i="8"/>
  <c r="X23" i="8"/>
  <c r="W23" i="8"/>
  <c r="Q23" i="8"/>
  <c r="O23" i="8"/>
  <c r="I23" i="8"/>
  <c r="W22" i="8"/>
  <c r="Q22" i="8"/>
  <c r="K22" i="8"/>
  <c r="Z21" i="8"/>
  <c r="W21" i="8"/>
  <c r="Q21" i="8"/>
  <c r="B21" i="8"/>
  <c r="C21" i="8" s="1"/>
  <c r="D21" i="8" s="1"/>
  <c r="E21" i="8" s="1"/>
  <c r="F21" i="8" s="1"/>
  <c r="G21" i="8" s="1"/>
  <c r="H21" i="8" s="1"/>
  <c r="I21" i="8" s="1"/>
  <c r="J21" i="8" s="1"/>
  <c r="K21" i="8" s="1"/>
  <c r="L21" i="8" s="1"/>
  <c r="M21" i="8" s="1"/>
  <c r="W20" i="8"/>
  <c r="V20" i="8"/>
  <c r="Q20" i="8"/>
  <c r="N20" i="8"/>
  <c r="AN19" i="8"/>
  <c r="AF19" i="8"/>
  <c r="W19" i="8"/>
  <c r="V19" i="8"/>
  <c r="N19" i="8"/>
  <c r="M19" i="8"/>
  <c r="K19" i="8"/>
  <c r="F19" i="8"/>
  <c r="E19" i="8"/>
  <c r="C19" i="8"/>
  <c r="BQ18" i="8"/>
  <c r="BQ19" i="8" s="1"/>
  <c r="Z18" i="8"/>
  <c r="Z19" i="8" s="1"/>
  <c r="Y18" i="8"/>
  <c r="Y19" i="8" s="1"/>
  <c r="X18" i="8"/>
  <c r="X19" i="8" s="1"/>
  <c r="W18" i="8"/>
  <c r="V18" i="8"/>
  <c r="R18" i="8"/>
  <c r="R19" i="8" s="1"/>
  <c r="Q18" i="8"/>
  <c r="P18" i="8"/>
  <c r="P19" i="8" s="1"/>
  <c r="N18" i="8"/>
  <c r="M18" i="8"/>
  <c r="L18" i="8"/>
  <c r="L19" i="8" s="1"/>
  <c r="K18" i="8"/>
  <c r="J18" i="8"/>
  <c r="J19" i="8" s="1"/>
  <c r="I18" i="8"/>
  <c r="I19" i="8" s="1"/>
  <c r="H18" i="8"/>
  <c r="H19" i="8" s="1"/>
  <c r="G18" i="8"/>
  <c r="G19" i="8" s="1"/>
  <c r="F18" i="8"/>
  <c r="E18" i="8"/>
  <c r="D18" i="8"/>
  <c r="D19" i="8" s="1"/>
  <c r="C18" i="8"/>
  <c r="B18" i="8"/>
  <c r="B19" i="8" s="1"/>
  <c r="CE17" i="8"/>
  <c r="CD17" i="8"/>
  <c r="CC17" i="8"/>
  <c r="CB17" i="8"/>
  <c r="CA17" i="8"/>
  <c r="BY17" i="8"/>
  <c r="BX17" i="8"/>
  <c r="BW17" i="8"/>
  <c r="BV17" i="8"/>
  <c r="BU17" i="8"/>
  <c r="BT17" i="8"/>
  <c r="BS17" i="8"/>
  <c r="BR17" i="8"/>
  <c r="BQ17" i="8"/>
  <c r="BP17" i="8"/>
  <c r="BO17" i="8"/>
  <c r="BN17" i="8"/>
  <c r="BM17" i="8"/>
  <c r="BL17" i="8"/>
  <c r="BK17" i="8"/>
  <c r="BJ17" i="8"/>
  <c r="BI17" i="8"/>
  <c r="BC17" i="8"/>
  <c r="BB17" i="8"/>
  <c r="BA17" i="8"/>
  <c r="AZ17" i="8"/>
  <c r="AY17" i="8"/>
  <c r="AV17" i="8"/>
  <c r="AU17" i="8"/>
  <c r="AW17" i="8" s="1"/>
  <c r="AT17" i="8"/>
  <c r="AS17" i="8"/>
  <c r="AR17" i="8"/>
  <c r="AQ17" i="8"/>
  <c r="AP17" i="8"/>
  <c r="AO17" i="8"/>
  <c r="AN17" i="8"/>
  <c r="AM17" i="8"/>
  <c r="AL17" i="8"/>
  <c r="AK17" i="8"/>
  <c r="AJ17" i="8"/>
  <c r="AI17" i="8"/>
  <c r="AH17" i="8"/>
  <c r="AG17" i="8"/>
  <c r="AB17" i="8"/>
  <c r="M23" i="8" s="1"/>
  <c r="AA17" i="8"/>
  <c r="U17" i="8"/>
  <c r="M22" i="8" s="1"/>
  <c r="S17" i="8"/>
  <c r="O17" i="8"/>
  <c r="T17" i="8" s="1"/>
  <c r="AC17" i="8" s="1"/>
  <c r="CE16" i="8"/>
  <c r="CD16" i="8"/>
  <c r="CC16" i="8"/>
  <c r="CB16" i="8"/>
  <c r="CA16" i="8"/>
  <c r="BX16" i="8"/>
  <c r="BW16" i="8"/>
  <c r="BV16" i="8"/>
  <c r="BY16" i="8" s="1"/>
  <c r="BZ16" i="8" s="1"/>
  <c r="CI16" i="8" s="1"/>
  <c r="BU16" i="8"/>
  <c r="BT16" i="8"/>
  <c r="BS16" i="8"/>
  <c r="BR16" i="8"/>
  <c r="BQ16" i="8"/>
  <c r="BP16" i="8"/>
  <c r="BO16" i="8"/>
  <c r="BN16" i="8"/>
  <c r="BM16" i="8"/>
  <c r="BL16" i="8"/>
  <c r="BK16" i="8"/>
  <c r="BJ16" i="8"/>
  <c r="BI16" i="8"/>
  <c r="BC16" i="8"/>
  <c r="BB16" i="8"/>
  <c r="BD16" i="8" s="1"/>
  <c r="BA16" i="8"/>
  <c r="AZ16" i="8"/>
  <c r="AY16" i="8"/>
  <c r="AV16" i="8"/>
  <c r="AU16" i="8"/>
  <c r="AW16" i="8" s="1"/>
  <c r="AT16" i="8"/>
  <c r="AS16" i="8"/>
  <c r="AR16" i="8"/>
  <c r="AQ16" i="8"/>
  <c r="AP16" i="8"/>
  <c r="AO16" i="8"/>
  <c r="AN16" i="8"/>
  <c r="AM16" i="8"/>
  <c r="AL16" i="8"/>
  <c r="AK16" i="8"/>
  <c r="AJ16" i="8"/>
  <c r="AI16" i="8"/>
  <c r="AH16" i="8"/>
  <c r="AG16" i="8"/>
  <c r="AA16" i="8"/>
  <c r="AB16" i="8" s="1"/>
  <c r="L23" i="8" s="1"/>
  <c r="S16" i="8"/>
  <c r="O16" i="8"/>
  <c r="T16" i="8" s="1"/>
  <c r="U16" i="8" s="1"/>
  <c r="L22" i="8" s="1"/>
  <c r="CE15" i="8"/>
  <c r="CD15" i="8"/>
  <c r="CC15" i="8"/>
  <c r="CB15" i="8"/>
  <c r="CA15" i="8"/>
  <c r="CF15" i="8" s="1"/>
  <c r="BX15" i="8"/>
  <c r="BW15" i="8"/>
  <c r="BV15" i="8"/>
  <c r="BU15" i="8"/>
  <c r="BT15" i="8"/>
  <c r="BS15" i="8"/>
  <c r="BR15" i="8"/>
  <c r="BQ15" i="8"/>
  <c r="BP15" i="8"/>
  <c r="BO15" i="8"/>
  <c r="BN15" i="8"/>
  <c r="BM15" i="8"/>
  <c r="BL15" i="8"/>
  <c r="BK15" i="8"/>
  <c r="BJ15" i="8"/>
  <c r="BI15" i="8"/>
  <c r="BD15" i="8"/>
  <c r="BE15" i="8" s="1"/>
  <c r="BC15" i="8"/>
  <c r="BB15" i="8"/>
  <c r="BA15" i="8"/>
  <c r="AZ15" i="8"/>
  <c r="AY15" i="8"/>
  <c r="AW15" i="8"/>
  <c r="AV15" i="8"/>
  <c r="AU15" i="8"/>
  <c r="AT15" i="8"/>
  <c r="AS15" i="8"/>
  <c r="AR15" i="8"/>
  <c r="AQ15" i="8"/>
  <c r="AP15" i="8"/>
  <c r="AO15" i="8"/>
  <c r="AN15" i="8"/>
  <c r="AM15" i="8"/>
  <c r="AL15" i="8"/>
  <c r="AK15" i="8"/>
  <c r="AJ15" i="8"/>
  <c r="AI15" i="8"/>
  <c r="AH15" i="8"/>
  <c r="AG15" i="8"/>
  <c r="AX15" i="8" s="1"/>
  <c r="AB15" i="8"/>
  <c r="K23" i="8" s="1"/>
  <c r="AA15" i="8"/>
  <c r="S15" i="8"/>
  <c r="O15" i="8"/>
  <c r="T15" i="8" s="1"/>
  <c r="U15" i="8" s="1"/>
  <c r="CE14" i="8"/>
  <c r="CD14" i="8"/>
  <c r="CC14" i="8"/>
  <c r="CB14" i="8"/>
  <c r="CF14" i="8" s="1"/>
  <c r="CA14" i="8"/>
  <c r="BX14" i="8"/>
  <c r="BW14" i="8"/>
  <c r="BV14" i="8"/>
  <c r="BU14" i="8"/>
  <c r="BT14" i="8"/>
  <c r="BS14" i="8"/>
  <c r="BR14" i="8"/>
  <c r="BQ14" i="8"/>
  <c r="BP14" i="8"/>
  <c r="BO14" i="8"/>
  <c r="BN14" i="8"/>
  <c r="BM14" i="8"/>
  <c r="BL14" i="8"/>
  <c r="BK14" i="8"/>
  <c r="BJ14" i="8"/>
  <c r="BI14" i="8"/>
  <c r="BC14" i="8"/>
  <c r="BB14" i="8"/>
  <c r="BD14" i="8" s="1"/>
  <c r="BA14" i="8"/>
  <c r="AZ14" i="8"/>
  <c r="AY14" i="8"/>
  <c r="AW14" i="8"/>
  <c r="AV14" i="8"/>
  <c r="AU14" i="8"/>
  <c r="AT14" i="8"/>
  <c r="AS14" i="8"/>
  <c r="AR14" i="8"/>
  <c r="AQ14" i="8"/>
  <c r="AP14" i="8"/>
  <c r="AO14" i="8"/>
  <c r="AN14" i="8"/>
  <c r="AM14" i="8"/>
  <c r="AL14" i="8"/>
  <c r="AK14" i="8"/>
  <c r="AJ14" i="8"/>
  <c r="AI14" i="8"/>
  <c r="AH14" i="8"/>
  <c r="AG14" i="8"/>
  <c r="AX14" i="8" s="1"/>
  <c r="AA14" i="8"/>
  <c r="AB14" i="8" s="1"/>
  <c r="J23" i="8" s="1"/>
  <c r="S14" i="8"/>
  <c r="O14" i="8"/>
  <c r="T14" i="8" s="1"/>
  <c r="CE13" i="8"/>
  <c r="CD13" i="8"/>
  <c r="CC13" i="8"/>
  <c r="CF13" i="8" s="1"/>
  <c r="CB13" i="8"/>
  <c r="CA13" i="8"/>
  <c r="BX13" i="8"/>
  <c r="BY13" i="8" s="1"/>
  <c r="BZ13" i="8" s="1"/>
  <c r="CI13" i="8" s="1"/>
  <c r="BW13" i="8"/>
  <c r="BV13" i="8"/>
  <c r="BU13" i="8"/>
  <c r="BT13" i="8"/>
  <c r="BS13" i="8"/>
  <c r="BR13" i="8"/>
  <c r="BQ13" i="8"/>
  <c r="BP13" i="8"/>
  <c r="BO13" i="8"/>
  <c r="BN13" i="8"/>
  <c r="BM13" i="8"/>
  <c r="BL13" i="8"/>
  <c r="BK13" i="8"/>
  <c r="BJ13" i="8"/>
  <c r="BI13" i="8"/>
  <c r="BC13" i="8"/>
  <c r="BB13" i="8"/>
  <c r="BA13" i="8"/>
  <c r="AZ13" i="8"/>
  <c r="AY13" i="8"/>
  <c r="BD13" i="8" s="1"/>
  <c r="AW13" i="8"/>
  <c r="AV13" i="8"/>
  <c r="AU13" i="8"/>
  <c r="AT13" i="8"/>
  <c r="AS13" i="8"/>
  <c r="AR13" i="8"/>
  <c r="AQ13" i="8"/>
  <c r="AP13" i="8"/>
  <c r="AO13" i="8"/>
  <c r="AO19" i="8" s="1"/>
  <c r="AN13" i="8"/>
  <c r="AM13" i="8"/>
  <c r="AL13" i="8"/>
  <c r="AK13" i="8"/>
  <c r="AJ13" i="8"/>
  <c r="AI13" i="8"/>
  <c r="AH13" i="8"/>
  <c r="AG13" i="8"/>
  <c r="AG19" i="8" s="1"/>
  <c r="AB13" i="8"/>
  <c r="AA13" i="8"/>
  <c r="S13" i="8"/>
  <c r="T13" i="8" s="1"/>
  <c r="U13" i="8" s="1"/>
  <c r="I22" i="8" s="1"/>
  <c r="O13" i="8"/>
  <c r="CE12" i="8"/>
  <c r="CD12" i="8"/>
  <c r="CF12" i="8" s="1"/>
  <c r="CC12" i="8"/>
  <c r="CB12" i="8"/>
  <c r="CA12" i="8"/>
  <c r="BY12" i="8"/>
  <c r="BZ12" i="8" s="1"/>
  <c r="CI12" i="8" s="1"/>
  <c r="BX12" i="8"/>
  <c r="BW12" i="8"/>
  <c r="BV12" i="8"/>
  <c r="BU12" i="8"/>
  <c r="BT12" i="8"/>
  <c r="BS12" i="8"/>
  <c r="BR12" i="8"/>
  <c r="BQ12" i="8"/>
  <c r="BP12" i="8"/>
  <c r="BO12" i="8"/>
  <c r="BN12" i="8"/>
  <c r="BM12" i="8"/>
  <c r="BL12" i="8"/>
  <c r="BK12" i="8"/>
  <c r="BJ12" i="8"/>
  <c r="BI12" i="8"/>
  <c r="BC12" i="8"/>
  <c r="BB12" i="8"/>
  <c r="BA12" i="8"/>
  <c r="AZ12" i="8"/>
  <c r="BD12" i="8" s="1"/>
  <c r="BE12" i="8" s="1"/>
  <c r="AY12" i="8"/>
  <c r="AV12" i="8"/>
  <c r="AU12" i="8"/>
  <c r="AW12" i="8" s="1"/>
  <c r="AT12" i="8"/>
  <c r="AS12" i="8"/>
  <c r="AR12" i="8"/>
  <c r="AQ12" i="8"/>
  <c r="AP12" i="8"/>
  <c r="AO12" i="8"/>
  <c r="AN12" i="8"/>
  <c r="AM12" i="8"/>
  <c r="AL12" i="8"/>
  <c r="AK12" i="8"/>
  <c r="AJ12" i="8"/>
  <c r="AI12" i="8"/>
  <c r="AX12" i="8" s="1"/>
  <c r="AH12" i="8"/>
  <c r="AG12" i="8"/>
  <c r="AA12" i="8"/>
  <c r="S12" i="8"/>
  <c r="O12" i="8"/>
  <c r="T12" i="8" s="1"/>
  <c r="U12" i="8" s="1"/>
  <c r="H22" i="8" s="1"/>
  <c r="CE11" i="8"/>
  <c r="CD11" i="8"/>
  <c r="CC11" i="8"/>
  <c r="CB11" i="8"/>
  <c r="CA11" i="8"/>
  <c r="CF11" i="8" s="1"/>
  <c r="CJ11" i="8" s="1"/>
  <c r="BY11" i="8"/>
  <c r="BZ11" i="8" s="1"/>
  <c r="CI11" i="8" s="1"/>
  <c r="BX11" i="8"/>
  <c r="BW11" i="8"/>
  <c r="BV11" i="8"/>
  <c r="BU11" i="8"/>
  <c r="BT11" i="8"/>
  <c r="BS11" i="8"/>
  <c r="BR11" i="8"/>
  <c r="BQ11" i="8"/>
  <c r="BP11" i="8"/>
  <c r="BO11" i="8"/>
  <c r="BN11" i="8"/>
  <c r="BM11" i="8"/>
  <c r="BL11" i="8"/>
  <c r="BK11" i="8"/>
  <c r="BJ11" i="8"/>
  <c r="BI11" i="8"/>
  <c r="BC11" i="8"/>
  <c r="BB11" i="8"/>
  <c r="BA11" i="8"/>
  <c r="AZ11" i="8"/>
  <c r="AY11" i="8"/>
  <c r="BD11" i="8" s="1"/>
  <c r="AW11" i="8"/>
  <c r="AV11" i="8"/>
  <c r="AU11" i="8"/>
  <c r="AT11" i="8"/>
  <c r="AS11" i="8"/>
  <c r="AR11" i="8"/>
  <c r="AQ11" i="8"/>
  <c r="AP11" i="8"/>
  <c r="AO11" i="8"/>
  <c r="AN11" i="8"/>
  <c r="AM11" i="8"/>
  <c r="AL11" i="8"/>
  <c r="AK11" i="8"/>
  <c r="AJ11" i="8"/>
  <c r="AI11" i="8"/>
  <c r="AH11" i="8"/>
  <c r="AG11" i="8"/>
  <c r="AB11" i="8"/>
  <c r="G23" i="8" s="1"/>
  <c r="AA11" i="8"/>
  <c r="S11" i="8"/>
  <c r="O11" i="8"/>
  <c r="T11" i="8" s="1"/>
  <c r="U11" i="8" s="1"/>
  <c r="G22" i="8" s="1"/>
  <c r="CE10" i="8"/>
  <c r="CD10" i="8"/>
  <c r="CC10" i="8"/>
  <c r="CB10" i="8"/>
  <c r="CA10" i="8"/>
  <c r="CF10" i="8" s="1"/>
  <c r="BZ10" i="8"/>
  <c r="CI10" i="8" s="1"/>
  <c r="BX10" i="8"/>
  <c r="BW10" i="8"/>
  <c r="BV10" i="8"/>
  <c r="BY10" i="8" s="1"/>
  <c r="BU10" i="8"/>
  <c r="BT10" i="8"/>
  <c r="BS10" i="8"/>
  <c r="BR10" i="8"/>
  <c r="BR18" i="8" s="1"/>
  <c r="BR19" i="8" s="1"/>
  <c r="BQ10" i="8"/>
  <c r="BP10" i="8"/>
  <c r="BO10" i="8"/>
  <c r="BN10" i="8"/>
  <c r="BM10" i="8"/>
  <c r="BL10" i="8"/>
  <c r="BK10" i="8"/>
  <c r="BJ10" i="8"/>
  <c r="BI10" i="8"/>
  <c r="BC10" i="8"/>
  <c r="BB10" i="8"/>
  <c r="BA10" i="8"/>
  <c r="AZ10" i="8"/>
  <c r="AY10" i="8"/>
  <c r="AX10" i="8"/>
  <c r="AV10" i="8"/>
  <c r="AU10" i="8"/>
  <c r="AW10" i="8" s="1"/>
  <c r="AT10" i="8"/>
  <c r="AS10" i="8"/>
  <c r="AR10" i="8"/>
  <c r="AQ10" i="8"/>
  <c r="AP10" i="8"/>
  <c r="AO10" i="8"/>
  <c r="AN10" i="8"/>
  <c r="AM10" i="8"/>
  <c r="AL10" i="8"/>
  <c r="AK10" i="8"/>
  <c r="AJ10" i="8"/>
  <c r="AI10" i="8"/>
  <c r="AH10" i="8"/>
  <c r="AG10" i="8"/>
  <c r="AC10" i="8"/>
  <c r="AD10" i="8" s="1"/>
  <c r="F24" i="8" s="1"/>
  <c r="AA10" i="8"/>
  <c r="AB10" i="8" s="1"/>
  <c r="F23" i="8" s="1"/>
  <c r="T10" i="8"/>
  <c r="U10" i="8" s="1"/>
  <c r="F22" i="8" s="1"/>
  <c r="S10" i="8"/>
  <c r="O10" i="8"/>
  <c r="CJ9" i="8"/>
  <c r="CI9" i="8"/>
  <c r="CE9" i="8"/>
  <c r="CD9" i="8"/>
  <c r="CC9" i="8"/>
  <c r="CB9" i="8"/>
  <c r="CA9" i="8"/>
  <c r="CF9" i="8" s="1"/>
  <c r="CG9" i="8" s="1"/>
  <c r="BY9" i="8"/>
  <c r="BZ9" i="8" s="1"/>
  <c r="BX9" i="8"/>
  <c r="BW9" i="8"/>
  <c r="BV9" i="8"/>
  <c r="BU9" i="8"/>
  <c r="BT9" i="8"/>
  <c r="BS9" i="8"/>
  <c r="BR9" i="8"/>
  <c r="BQ9" i="8"/>
  <c r="BP9" i="8"/>
  <c r="BO9" i="8"/>
  <c r="BN9" i="8"/>
  <c r="BM9" i="8"/>
  <c r="BL9" i="8"/>
  <c r="BK9" i="8"/>
  <c r="BJ9" i="8"/>
  <c r="BI9" i="8"/>
  <c r="BI18" i="8" s="1"/>
  <c r="BI19" i="8" s="1"/>
  <c r="BC9" i="8"/>
  <c r="BB9" i="8"/>
  <c r="BA9" i="8"/>
  <c r="AZ9" i="8"/>
  <c r="AY9" i="8"/>
  <c r="AV9" i="8"/>
  <c r="AU9" i="8"/>
  <c r="AW9" i="8" s="1"/>
  <c r="AT9" i="8"/>
  <c r="AS9" i="8"/>
  <c r="AR9" i="8"/>
  <c r="AQ9" i="8"/>
  <c r="AP9" i="8"/>
  <c r="AO9" i="8"/>
  <c r="AN9" i="8"/>
  <c r="AM9" i="8"/>
  <c r="AL9" i="8"/>
  <c r="AK9" i="8"/>
  <c r="AJ9" i="8"/>
  <c r="AI9" i="8"/>
  <c r="AH9" i="8"/>
  <c r="AG9" i="8"/>
  <c r="AC9" i="8"/>
  <c r="AD9" i="8" s="1"/>
  <c r="E24" i="8" s="1"/>
  <c r="AB9" i="8"/>
  <c r="E23" i="8" s="1"/>
  <c r="AA9" i="8"/>
  <c r="S9" i="8"/>
  <c r="O9" i="8"/>
  <c r="T9" i="8" s="1"/>
  <c r="U9" i="8" s="1"/>
  <c r="E22" i="8" s="1"/>
  <c r="CE8" i="8"/>
  <c r="CD8" i="8"/>
  <c r="CC8" i="8"/>
  <c r="CB8" i="8"/>
  <c r="CA8" i="8"/>
  <c r="BX8" i="8"/>
  <c r="BW8" i="8"/>
  <c r="BV8" i="8"/>
  <c r="BY8" i="8" s="1"/>
  <c r="BZ8" i="8" s="1"/>
  <c r="CI8" i="8" s="1"/>
  <c r="BU8" i="8"/>
  <c r="BT8" i="8"/>
  <c r="BS8" i="8"/>
  <c r="BR8" i="8"/>
  <c r="BQ8" i="8"/>
  <c r="BP8" i="8"/>
  <c r="BO8" i="8"/>
  <c r="BN8" i="8"/>
  <c r="BM8" i="8"/>
  <c r="BL8" i="8"/>
  <c r="BK8" i="8"/>
  <c r="BJ8" i="8"/>
  <c r="BJ18" i="8" s="1"/>
  <c r="BJ19" i="8" s="1"/>
  <c r="BI8" i="8"/>
  <c r="BC8" i="8"/>
  <c r="BB8" i="8"/>
  <c r="BD8" i="8" s="1"/>
  <c r="BA8" i="8"/>
  <c r="AZ8" i="8"/>
  <c r="AY8" i="8"/>
  <c r="AV8" i="8"/>
  <c r="AU8" i="8"/>
  <c r="AT8" i="8"/>
  <c r="AS8" i="8"/>
  <c r="AR8" i="8"/>
  <c r="AQ8" i="8"/>
  <c r="AP8" i="8"/>
  <c r="AO8" i="8"/>
  <c r="AN8" i="8"/>
  <c r="AM8" i="8"/>
  <c r="AL8" i="8"/>
  <c r="AK8" i="8"/>
  <c r="AJ8" i="8"/>
  <c r="AI8" i="8"/>
  <c r="AH8" i="8"/>
  <c r="AG8" i="8"/>
  <c r="AA8" i="8"/>
  <c r="AB8" i="8" s="1"/>
  <c r="D23" i="8" s="1"/>
  <c r="S8" i="8"/>
  <c r="O8" i="8"/>
  <c r="CE7" i="8"/>
  <c r="CD7" i="8"/>
  <c r="CC7" i="8"/>
  <c r="CB7" i="8"/>
  <c r="CA7" i="8"/>
  <c r="BX7" i="8"/>
  <c r="BW7" i="8"/>
  <c r="BW18" i="8" s="1"/>
  <c r="BW19" i="8" s="1"/>
  <c r="BV7" i="8"/>
  <c r="BY7" i="8" s="1"/>
  <c r="BU7" i="8"/>
  <c r="BT7" i="8"/>
  <c r="BS7" i="8"/>
  <c r="BS18" i="8" s="1"/>
  <c r="BS19" i="8" s="1"/>
  <c r="BR7" i="8"/>
  <c r="BQ7" i="8"/>
  <c r="BP7" i="8"/>
  <c r="BO7" i="8"/>
  <c r="BN7" i="8"/>
  <c r="BM7" i="8"/>
  <c r="BL7" i="8"/>
  <c r="BK7" i="8"/>
  <c r="BK18" i="8" s="1"/>
  <c r="BK19" i="8" s="1"/>
  <c r="BJ7" i="8"/>
  <c r="BI7" i="8"/>
  <c r="BC7" i="8"/>
  <c r="BB7" i="8"/>
  <c r="BA7" i="8"/>
  <c r="BD7" i="8" s="1"/>
  <c r="AZ7" i="8"/>
  <c r="AY7" i="8"/>
  <c r="AV7" i="8"/>
  <c r="AU7" i="8"/>
  <c r="AW7" i="8" s="1"/>
  <c r="AT7" i="8"/>
  <c r="AS7" i="8"/>
  <c r="AR7" i="8"/>
  <c r="AQ7" i="8"/>
  <c r="AP7" i="8"/>
  <c r="AO7" i="8"/>
  <c r="AN7" i="8"/>
  <c r="AM7" i="8"/>
  <c r="AL7" i="8"/>
  <c r="AK7" i="8"/>
  <c r="AJ7" i="8"/>
  <c r="AI7" i="8"/>
  <c r="AH7" i="8"/>
  <c r="AG7" i="8"/>
  <c r="AB7" i="8"/>
  <c r="C23" i="8" s="1"/>
  <c r="AA7" i="8"/>
  <c r="S7" i="8"/>
  <c r="O7" i="8"/>
  <c r="A7" i="8"/>
  <c r="V21" i="8" s="1"/>
  <c r="CE6" i="8"/>
  <c r="CE18" i="8" s="1"/>
  <c r="CE19" i="8" s="1"/>
  <c r="CD6" i="8"/>
  <c r="CC6" i="8"/>
  <c r="CB6" i="8"/>
  <c r="CB18" i="8" s="1"/>
  <c r="CB19" i="8" s="1"/>
  <c r="CA6" i="8"/>
  <c r="BX6" i="8"/>
  <c r="BX18" i="8" s="1"/>
  <c r="BX19" i="8" s="1"/>
  <c r="BW6" i="8"/>
  <c r="BV6" i="8"/>
  <c r="BU6" i="8"/>
  <c r="BT6" i="8"/>
  <c r="BS6" i="8"/>
  <c r="BR6" i="8"/>
  <c r="BQ6" i="8"/>
  <c r="BP6" i="8"/>
  <c r="BP18" i="8" s="1"/>
  <c r="BP19" i="8" s="1"/>
  <c r="BO6" i="8"/>
  <c r="BO18" i="8" s="1"/>
  <c r="BO19" i="8" s="1"/>
  <c r="BN6" i="8"/>
  <c r="BM6" i="8"/>
  <c r="BL6" i="8"/>
  <c r="BK6" i="8"/>
  <c r="BJ6" i="8"/>
  <c r="BI6" i="8"/>
  <c r="BH6" i="8"/>
  <c r="BH7" i="8" s="1"/>
  <c r="BH8" i="8" s="1"/>
  <c r="BH9" i="8" s="1"/>
  <c r="BH10" i="8" s="1"/>
  <c r="BH11" i="8" s="1"/>
  <c r="BH12" i="8" s="1"/>
  <c r="BH13" i="8" s="1"/>
  <c r="BH14" i="8" s="1"/>
  <c r="BH15" i="8" s="1"/>
  <c r="BH16" i="8" s="1"/>
  <c r="BH17" i="8" s="1"/>
  <c r="BD6" i="8"/>
  <c r="BC6" i="8"/>
  <c r="BB6" i="8"/>
  <c r="BA6" i="8"/>
  <c r="AZ6" i="8"/>
  <c r="AY6" i="8"/>
  <c r="AV6" i="8"/>
  <c r="AV19" i="8" s="1"/>
  <c r="AU6" i="8"/>
  <c r="AT6" i="8"/>
  <c r="AS6" i="8"/>
  <c r="AR6" i="8"/>
  <c r="AQ6" i="8"/>
  <c r="AP6" i="8"/>
  <c r="AP19" i="8" s="1"/>
  <c r="AO6" i="8"/>
  <c r="AN6" i="8"/>
  <c r="AM6" i="8"/>
  <c r="AL6" i="8"/>
  <c r="AK6" i="8"/>
  <c r="AJ6" i="8"/>
  <c r="AI6" i="8"/>
  <c r="AH6" i="8"/>
  <c r="AH19" i="8" s="1"/>
  <c r="AG6" i="8"/>
  <c r="AF6" i="8"/>
  <c r="AA6" i="8"/>
  <c r="AB6" i="8" s="1"/>
  <c r="S6" i="8"/>
  <c r="O6" i="8"/>
  <c r="O20" i="8" s="1"/>
  <c r="E20" i="9"/>
  <c r="D20" i="9"/>
  <c r="C20" i="9"/>
  <c r="B20" i="9"/>
  <c r="B21" i="9" s="1"/>
  <c r="E21" i="9"/>
  <c r="D21" i="9"/>
  <c r="C21" i="9"/>
  <c r="A12" i="9"/>
  <c r="C36" i="7"/>
  <c r="D36" i="7" s="1"/>
  <c r="E36" i="7" s="1"/>
  <c r="F36" i="7" s="1"/>
  <c r="G36" i="7" s="1"/>
  <c r="H36" i="7" s="1"/>
  <c r="I36" i="7" s="1"/>
  <c r="J36" i="7" s="1"/>
  <c r="K36" i="7" s="1"/>
  <c r="L36" i="7" s="1"/>
  <c r="M36" i="7" s="1"/>
  <c r="Z33" i="7"/>
  <c r="Y33" i="7"/>
  <c r="X33" i="7"/>
  <c r="W33" i="7"/>
  <c r="V33" i="7"/>
  <c r="X31" i="7"/>
  <c r="W31" i="7"/>
  <c r="X30" i="7"/>
  <c r="W30" i="7"/>
  <c r="X29" i="7"/>
  <c r="W29" i="7"/>
  <c r="M29" i="7"/>
  <c r="L29" i="7"/>
  <c r="K29" i="7"/>
  <c r="J29" i="7"/>
  <c r="I29" i="7"/>
  <c r="H29" i="7"/>
  <c r="G29" i="7"/>
  <c r="F29" i="7"/>
  <c r="E29" i="7"/>
  <c r="D29" i="7"/>
  <c r="C29" i="7"/>
  <c r="B29" i="7"/>
  <c r="AW28" i="7"/>
  <c r="X28" i="7"/>
  <c r="W28" i="7"/>
  <c r="N28" i="7"/>
  <c r="AB27" i="7"/>
  <c r="AB28" i="7" s="1"/>
  <c r="X27" i="7"/>
  <c r="W27" i="7"/>
  <c r="N27" i="7"/>
  <c r="X26" i="7"/>
  <c r="W26" i="7"/>
  <c r="X25" i="7"/>
  <c r="W25" i="7"/>
  <c r="X24" i="7"/>
  <c r="W24" i="7"/>
  <c r="X23" i="7"/>
  <c r="W23" i="7"/>
  <c r="W22" i="7"/>
  <c r="V22" i="7"/>
  <c r="Z21" i="7"/>
  <c r="W21" i="7"/>
  <c r="V21" i="7"/>
  <c r="C21" i="7"/>
  <c r="D21" i="7" s="1"/>
  <c r="E21" i="7" s="1"/>
  <c r="F21" i="7" s="1"/>
  <c r="G21" i="7" s="1"/>
  <c r="H21" i="7" s="1"/>
  <c r="I21" i="7" s="1"/>
  <c r="J21" i="7" s="1"/>
  <c r="K21" i="7" s="1"/>
  <c r="L21" i="7" s="1"/>
  <c r="M21" i="7" s="1"/>
  <c r="W20" i="7"/>
  <c r="V20" i="7"/>
  <c r="N20" i="7"/>
  <c r="CC19" i="7"/>
  <c r="AU19" i="7"/>
  <c r="AF19" i="7"/>
  <c r="X19" i="7"/>
  <c r="V19" i="7"/>
  <c r="P19" i="7"/>
  <c r="M19" i="7"/>
  <c r="L19" i="7"/>
  <c r="K19" i="7"/>
  <c r="H19" i="7"/>
  <c r="D19" i="7"/>
  <c r="C19" i="7"/>
  <c r="BS18" i="7"/>
  <c r="BS19" i="7" s="1"/>
  <c r="BQ18" i="7"/>
  <c r="BQ19" i="7" s="1"/>
  <c r="Z18" i="7"/>
  <c r="Z19" i="7" s="1"/>
  <c r="Y18" i="7"/>
  <c r="Y19" i="7" s="1"/>
  <c r="X18" i="7"/>
  <c r="W18" i="7"/>
  <c r="W19" i="7" s="1"/>
  <c r="V18" i="7"/>
  <c r="R18" i="7"/>
  <c r="R19" i="7" s="1"/>
  <c r="Q18" i="7"/>
  <c r="P18" i="7"/>
  <c r="O18" i="7"/>
  <c r="N18" i="7"/>
  <c r="N19" i="7" s="1"/>
  <c r="M18" i="7"/>
  <c r="L18" i="7"/>
  <c r="K18" i="7"/>
  <c r="J18" i="7"/>
  <c r="J19" i="7" s="1"/>
  <c r="I18" i="7"/>
  <c r="I19" i="7" s="1"/>
  <c r="H18" i="7"/>
  <c r="G18" i="7"/>
  <c r="G19" i="7" s="1"/>
  <c r="F18" i="7"/>
  <c r="F19" i="7" s="1"/>
  <c r="E18" i="7"/>
  <c r="E19" i="7" s="1"/>
  <c r="D18" i="7"/>
  <c r="C18" i="7"/>
  <c r="B18" i="7"/>
  <c r="B19" i="7" s="1"/>
  <c r="CJ17" i="7"/>
  <c r="CI17" i="7"/>
  <c r="CL17" i="7" s="1"/>
  <c r="CE17" i="7"/>
  <c r="CD17" i="7"/>
  <c r="CC17" i="7"/>
  <c r="CB17" i="7"/>
  <c r="CA17" i="7"/>
  <c r="CF17" i="7" s="1"/>
  <c r="BZ17" i="7"/>
  <c r="BX17" i="7"/>
  <c r="BW17" i="7"/>
  <c r="BV17" i="7"/>
  <c r="BY17" i="7" s="1"/>
  <c r="BU17" i="7"/>
  <c r="BT17" i="7"/>
  <c r="BS17" i="7"/>
  <c r="BR17" i="7"/>
  <c r="BQ17" i="7"/>
  <c r="BP17" i="7"/>
  <c r="BO17" i="7"/>
  <c r="BN17" i="7"/>
  <c r="BM17" i="7"/>
  <c r="BL17" i="7"/>
  <c r="BK17" i="7"/>
  <c r="BJ17" i="7"/>
  <c r="BI17" i="7"/>
  <c r="BD17" i="7"/>
  <c r="BC17" i="7"/>
  <c r="BB17" i="7"/>
  <c r="BA17" i="7"/>
  <c r="AZ17" i="7"/>
  <c r="AY17" i="7"/>
  <c r="AV17" i="7"/>
  <c r="AW17" i="7" s="1"/>
  <c r="AU17" i="7"/>
  <c r="AT17" i="7"/>
  <c r="AS17" i="7"/>
  <c r="AR17" i="7"/>
  <c r="AQ17" i="7"/>
  <c r="AP17" i="7"/>
  <c r="AO17" i="7"/>
  <c r="AN17" i="7"/>
  <c r="AM17" i="7"/>
  <c r="AL17" i="7"/>
  <c r="AK17" i="7"/>
  <c r="AJ17" i="7"/>
  <c r="AI17" i="7"/>
  <c r="AH17" i="7"/>
  <c r="AG17" i="7"/>
  <c r="AC17" i="7"/>
  <c r="AD17" i="7" s="1"/>
  <c r="M24" i="7" s="1"/>
  <c r="AB17" i="7"/>
  <c r="M23" i="7" s="1"/>
  <c r="M31" i="7" s="1"/>
  <c r="AA17" i="7"/>
  <c r="S17" i="7"/>
  <c r="O17" i="7"/>
  <c r="T17" i="7" s="1"/>
  <c r="U17" i="7" s="1"/>
  <c r="M22" i="7" s="1"/>
  <c r="CF16" i="7"/>
  <c r="CE16" i="7"/>
  <c r="CD16" i="7"/>
  <c r="CC16" i="7"/>
  <c r="CB16" i="7"/>
  <c r="CA16" i="7"/>
  <c r="BX16" i="7"/>
  <c r="BW16" i="7"/>
  <c r="BV16" i="7"/>
  <c r="BY16" i="7" s="1"/>
  <c r="BU16" i="7"/>
  <c r="BT16" i="7"/>
  <c r="BS16" i="7"/>
  <c r="BR16" i="7"/>
  <c r="BQ16" i="7"/>
  <c r="BP16" i="7"/>
  <c r="BO16" i="7"/>
  <c r="BN16" i="7"/>
  <c r="BM16" i="7"/>
  <c r="BL16" i="7"/>
  <c r="BK16" i="7"/>
  <c r="BJ16" i="7"/>
  <c r="BI16" i="7"/>
  <c r="BC16" i="7"/>
  <c r="BB16" i="7"/>
  <c r="BD16" i="7" s="1"/>
  <c r="BE16" i="7" s="1"/>
  <c r="BA16" i="7"/>
  <c r="AZ16" i="7"/>
  <c r="AY16" i="7"/>
  <c r="AV16" i="7"/>
  <c r="AU16" i="7"/>
  <c r="AW16" i="7" s="1"/>
  <c r="AT16" i="7"/>
  <c r="AS16" i="7"/>
  <c r="AR16" i="7"/>
  <c r="AQ16" i="7"/>
  <c r="AP16" i="7"/>
  <c r="AO16" i="7"/>
  <c r="AN16" i="7"/>
  <c r="AM16" i="7"/>
  <c r="AL16" i="7"/>
  <c r="AX16" i="7" s="1"/>
  <c r="AK16" i="7"/>
  <c r="AJ16" i="7"/>
  <c r="AI16" i="7"/>
  <c r="AH16" i="7"/>
  <c r="AG16" i="7"/>
  <c r="AA16" i="7"/>
  <c r="AB16" i="7" s="1"/>
  <c r="L23" i="7" s="1"/>
  <c r="S16" i="7"/>
  <c r="O16" i="7"/>
  <c r="T16" i="7" s="1"/>
  <c r="CE15" i="7"/>
  <c r="CF15" i="7" s="1"/>
  <c r="CD15" i="7"/>
  <c r="CC15" i="7"/>
  <c r="CB15" i="7"/>
  <c r="CA15" i="7"/>
  <c r="BX15" i="7"/>
  <c r="BW15" i="7"/>
  <c r="BV15" i="7"/>
  <c r="BY15" i="7" s="1"/>
  <c r="BZ15" i="7" s="1"/>
  <c r="CI15" i="7" s="1"/>
  <c r="BU15" i="7"/>
  <c r="BT15" i="7"/>
  <c r="BS15" i="7"/>
  <c r="BR15" i="7"/>
  <c r="BQ15" i="7"/>
  <c r="BP15" i="7"/>
  <c r="BO15" i="7"/>
  <c r="BN15" i="7"/>
  <c r="BM15" i="7"/>
  <c r="BL15" i="7"/>
  <c r="BK15" i="7"/>
  <c r="BJ15" i="7"/>
  <c r="BI15" i="7"/>
  <c r="BD15" i="7"/>
  <c r="BE15" i="7" s="1"/>
  <c r="BC15" i="7"/>
  <c r="BB15" i="7"/>
  <c r="BA15" i="7"/>
  <c r="AZ15" i="7"/>
  <c r="AY15" i="7"/>
  <c r="AV15" i="7"/>
  <c r="AW15" i="7" s="1"/>
  <c r="AU15" i="7"/>
  <c r="AT15" i="7"/>
  <c r="AS15" i="7"/>
  <c r="AR15" i="7"/>
  <c r="AQ15" i="7"/>
  <c r="AP15" i="7"/>
  <c r="AO15" i="7"/>
  <c r="AN15" i="7"/>
  <c r="AM15" i="7"/>
  <c r="AL15" i="7"/>
  <c r="AK15" i="7"/>
  <c r="AJ15" i="7"/>
  <c r="AI15" i="7"/>
  <c r="AH15" i="7"/>
  <c r="AG15" i="7"/>
  <c r="AX15" i="7" s="1"/>
  <c r="AA15" i="7"/>
  <c r="T15" i="7"/>
  <c r="U15" i="7" s="1"/>
  <c r="K22" i="7" s="1"/>
  <c r="S15" i="7"/>
  <c r="O15" i="7"/>
  <c r="CF14" i="7"/>
  <c r="CJ14" i="7" s="1"/>
  <c r="CE14" i="7"/>
  <c r="CD14" i="7"/>
  <c r="CC14" i="7"/>
  <c r="CB14" i="7"/>
  <c r="CA14" i="7"/>
  <c r="BX14" i="7"/>
  <c r="BY14" i="7" s="1"/>
  <c r="BZ14" i="7" s="1"/>
  <c r="CI14" i="7" s="1"/>
  <c r="CL14" i="7" s="1"/>
  <c r="BW14" i="7"/>
  <c r="BV14" i="7"/>
  <c r="BU14" i="7"/>
  <c r="BT14" i="7"/>
  <c r="BS14" i="7"/>
  <c r="BR14" i="7"/>
  <c r="BQ14" i="7"/>
  <c r="BP14" i="7"/>
  <c r="BO14" i="7"/>
  <c r="BN14" i="7"/>
  <c r="BM14" i="7"/>
  <c r="BL14" i="7"/>
  <c r="BK14" i="7"/>
  <c r="BJ14" i="7"/>
  <c r="BI14" i="7"/>
  <c r="BC14" i="7"/>
  <c r="BB14" i="7"/>
  <c r="BA14" i="7"/>
  <c r="AZ14" i="7"/>
  <c r="AY14" i="7"/>
  <c r="AX14" i="7"/>
  <c r="AV14" i="7"/>
  <c r="AU14" i="7"/>
  <c r="AW14" i="7" s="1"/>
  <c r="AT14" i="7"/>
  <c r="AS14" i="7"/>
  <c r="AR14" i="7"/>
  <c r="AQ14" i="7"/>
  <c r="AP14" i="7"/>
  <c r="AO14" i="7"/>
  <c r="AN14" i="7"/>
  <c r="AM14" i="7"/>
  <c r="AL14" i="7"/>
  <c r="AK14" i="7"/>
  <c r="AJ14" i="7"/>
  <c r="AI14" i="7"/>
  <c r="AH14" i="7"/>
  <c r="AG14" i="7"/>
  <c r="AA14" i="7"/>
  <c r="AB14" i="7" s="1"/>
  <c r="J23" i="7" s="1"/>
  <c r="T14" i="7"/>
  <c r="U14" i="7" s="1"/>
  <c r="J22" i="7" s="1"/>
  <c r="S14" i="7"/>
  <c r="O14" i="7"/>
  <c r="CI13" i="7"/>
  <c r="CE13" i="7"/>
  <c r="CD13" i="7"/>
  <c r="CC13" i="7"/>
  <c r="CB13" i="7"/>
  <c r="CA13" i="7"/>
  <c r="BZ13" i="7"/>
  <c r="BX13" i="7"/>
  <c r="BW13" i="7"/>
  <c r="BV13" i="7"/>
  <c r="BY13" i="7" s="1"/>
  <c r="BU13" i="7"/>
  <c r="BT13" i="7"/>
  <c r="BS13" i="7"/>
  <c r="BR13" i="7"/>
  <c r="BQ13" i="7"/>
  <c r="BP13" i="7"/>
  <c r="BO13" i="7"/>
  <c r="BN13" i="7"/>
  <c r="BM13" i="7"/>
  <c r="BL13" i="7"/>
  <c r="BK13" i="7"/>
  <c r="BJ13" i="7"/>
  <c r="BI13" i="7"/>
  <c r="BD13" i="7"/>
  <c r="BC13" i="7"/>
  <c r="BB13" i="7"/>
  <c r="BA13" i="7"/>
  <c r="AZ13" i="7"/>
  <c r="AY13" i="7"/>
  <c r="AV13" i="7"/>
  <c r="AW13" i="7" s="1"/>
  <c r="AU13" i="7"/>
  <c r="AT13" i="7"/>
  <c r="AS13" i="7"/>
  <c r="AR13" i="7"/>
  <c r="AQ13" i="7"/>
  <c r="AP13" i="7"/>
  <c r="AO13" i="7"/>
  <c r="AN13" i="7"/>
  <c r="AM13" i="7"/>
  <c r="AL13" i="7"/>
  <c r="AK13" i="7"/>
  <c r="AJ13" i="7"/>
  <c r="AI13" i="7"/>
  <c r="AH13" i="7"/>
  <c r="AG13" i="7"/>
  <c r="AA13" i="7"/>
  <c r="AC13" i="7" s="1"/>
  <c r="AD13" i="7" s="1"/>
  <c r="I24" i="7" s="1"/>
  <c r="S13" i="7"/>
  <c r="O13" i="7"/>
  <c r="T13" i="7" s="1"/>
  <c r="U13" i="7" s="1"/>
  <c r="I22" i="7" s="1"/>
  <c r="I32" i="7" s="1"/>
  <c r="CE12" i="7"/>
  <c r="CD12" i="7"/>
  <c r="CF12" i="7" s="1"/>
  <c r="CC12" i="7"/>
  <c r="CB12" i="7"/>
  <c r="CA12" i="7"/>
  <c r="BX12" i="7"/>
  <c r="BW12" i="7"/>
  <c r="BV12" i="7"/>
  <c r="BY12" i="7" s="1"/>
  <c r="BU12" i="7"/>
  <c r="BT12" i="7"/>
  <c r="BS12" i="7"/>
  <c r="BR12" i="7"/>
  <c r="BQ12" i="7"/>
  <c r="BP12" i="7"/>
  <c r="BO12" i="7"/>
  <c r="BN12" i="7"/>
  <c r="BM12" i="7"/>
  <c r="BL12" i="7"/>
  <c r="BK12" i="7"/>
  <c r="BJ12" i="7"/>
  <c r="BI12" i="7"/>
  <c r="BC12" i="7"/>
  <c r="BB12" i="7"/>
  <c r="BD12" i="7" s="1"/>
  <c r="BE12" i="7" s="1"/>
  <c r="BA12" i="7"/>
  <c r="AZ12" i="7"/>
  <c r="AY12" i="7"/>
  <c r="AV12" i="7"/>
  <c r="AU12" i="7"/>
  <c r="AT12" i="7"/>
  <c r="AS12" i="7"/>
  <c r="AR12" i="7"/>
  <c r="AQ12" i="7"/>
  <c r="AP12" i="7"/>
  <c r="AO12" i="7"/>
  <c r="AN12" i="7"/>
  <c r="AM12" i="7"/>
  <c r="AL12" i="7"/>
  <c r="AK12" i="7"/>
  <c r="AJ12" i="7"/>
  <c r="AI12" i="7"/>
  <c r="AH12" i="7"/>
  <c r="AX12" i="7" s="1"/>
  <c r="AG12" i="7"/>
  <c r="AA12" i="7"/>
  <c r="AB12" i="7" s="1"/>
  <c r="H23" i="7" s="1"/>
  <c r="T12" i="7"/>
  <c r="U12" i="7" s="1"/>
  <c r="H22" i="7" s="1"/>
  <c r="S12" i="7"/>
  <c r="O12" i="7"/>
  <c r="CE11" i="7"/>
  <c r="CD11" i="7"/>
  <c r="CF11" i="7" s="1"/>
  <c r="CC11" i="7"/>
  <c r="CB11" i="7"/>
  <c r="CA11" i="7"/>
  <c r="BX11" i="7"/>
  <c r="BW11" i="7"/>
  <c r="BV11" i="7"/>
  <c r="BU11" i="7"/>
  <c r="BT11" i="7"/>
  <c r="BS11" i="7"/>
  <c r="BR11" i="7"/>
  <c r="BQ11" i="7"/>
  <c r="BP11" i="7"/>
  <c r="BO11" i="7"/>
  <c r="BN11" i="7"/>
  <c r="BM11" i="7"/>
  <c r="BL11" i="7"/>
  <c r="BK11" i="7"/>
  <c r="BJ11" i="7"/>
  <c r="BI11" i="7"/>
  <c r="BD11" i="7"/>
  <c r="BE11" i="7" s="1"/>
  <c r="BC11" i="7"/>
  <c r="BB11" i="7"/>
  <c r="BA11" i="7"/>
  <c r="AZ11" i="7"/>
  <c r="AY11" i="7"/>
  <c r="AV11" i="7"/>
  <c r="AW11" i="7" s="1"/>
  <c r="AU11" i="7"/>
  <c r="AT11" i="7"/>
  <c r="AS11" i="7"/>
  <c r="AR11" i="7"/>
  <c r="AQ11" i="7"/>
  <c r="AP11" i="7"/>
  <c r="AO11" i="7"/>
  <c r="AN11" i="7"/>
  <c r="AM11" i="7"/>
  <c r="AL11" i="7"/>
  <c r="AK11" i="7"/>
  <c r="AJ11" i="7"/>
  <c r="AI11" i="7"/>
  <c r="AH11" i="7"/>
  <c r="AG11" i="7"/>
  <c r="AX11" i="7" s="1"/>
  <c r="AA11" i="7"/>
  <c r="S11" i="7"/>
  <c r="BY11" i="7" s="1"/>
  <c r="BZ11" i="7" s="1"/>
  <c r="CI11" i="7" s="1"/>
  <c r="O11" i="7"/>
  <c r="T11" i="7" s="1"/>
  <c r="U11" i="7" s="1"/>
  <c r="G22" i="7" s="1"/>
  <c r="CF10" i="7"/>
  <c r="CJ10" i="7" s="1"/>
  <c r="CE10" i="7"/>
  <c r="CD10" i="7"/>
  <c r="CC10" i="7"/>
  <c r="CB10" i="7"/>
  <c r="CA10" i="7"/>
  <c r="BX10" i="7"/>
  <c r="BY10" i="7" s="1"/>
  <c r="BZ10" i="7" s="1"/>
  <c r="CI10" i="7" s="1"/>
  <c r="CL10" i="7" s="1"/>
  <c r="BW10" i="7"/>
  <c r="BV10" i="7"/>
  <c r="BU10" i="7"/>
  <c r="BT10" i="7"/>
  <c r="BS10" i="7"/>
  <c r="BR10" i="7"/>
  <c r="BQ10" i="7"/>
  <c r="BP10" i="7"/>
  <c r="BO10" i="7"/>
  <c r="BN10" i="7"/>
  <c r="BM10" i="7"/>
  <c r="BL10" i="7"/>
  <c r="BK10" i="7"/>
  <c r="BJ10" i="7"/>
  <c r="BI10" i="7"/>
  <c r="BC10" i="7"/>
  <c r="BB10" i="7"/>
  <c r="BA10" i="7"/>
  <c r="AZ10" i="7"/>
  <c r="AY10" i="7"/>
  <c r="BD10" i="7" s="1"/>
  <c r="AV10" i="7"/>
  <c r="AU10" i="7"/>
  <c r="AW10" i="7" s="1"/>
  <c r="AT10" i="7"/>
  <c r="AS10" i="7"/>
  <c r="AR10" i="7"/>
  <c r="AQ10" i="7"/>
  <c r="AP10" i="7"/>
  <c r="AO10" i="7"/>
  <c r="AN10" i="7"/>
  <c r="AM10" i="7"/>
  <c r="AL10" i="7"/>
  <c r="AK10" i="7"/>
  <c r="AJ10" i="7"/>
  <c r="AX10" i="7" s="1"/>
  <c r="AI10" i="7"/>
  <c r="AH10" i="7"/>
  <c r="AG10" i="7"/>
  <c r="AA10" i="7"/>
  <c r="AB10" i="7" s="1"/>
  <c r="F23" i="7" s="1"/>
  <c r="U10" i="7"/>
  <c r="F22" i="7" s="1"/>
  <c r="T10" i="7"/>
  <c r="S10" i="7"/>
  <c r="O10" i="7"/>
  <c r="CJ9" i="7"/>
  <c r="CE9" i="7"/>
  <c r="CD9" i="7"/>
  <c r="CC9" i="7"/>
  <c r="CB9" i="7"/>
  <c r="CA9" i="7"/>
  <c r="CF9" i="7" s="1"/>
  <c r="BX9" i="7"/>
  <c r="BW9" i="7"/>
  <c r="BV9" i="7"/>
  <c r="BY9" i="7" s="1"/>
  <c r="BZ9" i="7" s="1"/>
  <c r="CI9" i="7" s="1"/>
  <c r="CL9" i="7" s="1"/>
  <c r="BU9" i="7"/>
  <c r="BT9" i="7"/>
  <c r="BS9" i="7"/>
  <c r="BR9" i="7"/>
  <c r="BQ9" i="7"/>
  <c r="BP9" i="7"/>
  <c r="BO9" i="7"/>
  <c r="BN9" i="7"/>
  <c r="BM9" i="7"/>
  <c r="BL9" i="7"/>
  <c r="BK9" i="7"/>
  <c r="BJ9" i="7"/>
  <c r="BI9" i="7"/>
  <c r="BC9" i="7"/>
  <c r="BB9" i="7"/>
  <c r="BB19" i="7" s="1"/>
  <c r="BA9" i="7"/>
  <c r="AZ9" i="7"/>
  <c r="AY9" i="7"/>
  <c r="AV9" i="7"/>
  <c r="AU9" i="7"/>
  <c r="AW9" i="7" s="1"/>
  <c r="AT9" i="7"/>
  <c r="AS9" i="7"/>
  <c r="AR9" i="7"/>
  <c r="AQ9" i="7"/>
  <c r="AP9" i="7"/>
  <c r="AO9" i="7"/>
  <c r="AN9" i="7"/>
  <c r="AM9" i="7"/>
  <c r="AL9" i="7"/>
  <c r="AK9" i="7"/>
  <c r="AJ9" i="7"/>
  <c r="AI9" i="7"/>
  <c r="AH9" i="7"/>
  <c r="AG9" i="7"/>
  <c r="AC9" i="7"/>
  <c r="AD9" i="7" s="1"/>
  <c r="E24" i="7" s="1"/>
  <c r="AB9" i="7"/>
  <c r="E23" i="7" s="1"/>
  <c r="AA9" i="7"/>
  <c r="S9" i="7"/>
  <c r="T9" i="7" s="1"/>
  <c r="U9" i="7" s="1"/>
  <c r="E22" i="7" s="1"/>
  <c r="O9" i="7"/>
  <c r="CE8" i="7"/>
  <c r="CE18" i="7" s="1"/>
  <c r="CE19" i="7" s="1"/>
  <c r="CD8" i="7"/>
  <c r="CC8" i="7"/>
  <c r="CB8" i="7"/>
  <c r="CA8" i="7"/>
  <c r="BX8" i="7"/>
  <c r="BW8" i="7"/>
  <c r="BW18" i="7" s="1"/>
  <c r="BW19" i="7" s="1"/>
  <c r="BV8" i="7"/>
  <c r="BY8" i="7" s="1"/>
  <c r="BZ8" i="7" s="1"/>
  <c r="CI8" i="7" s="1"/>
  <c r="BU8" i="7"/>
  <c r="BT8" i="7"/>
  <c r="BS8" i="7"/>
  <c r="BR8" i="7"/>
  <c r="BQ8" i="7"/>
  <c r="BP8" i="7"/>
  <c r="BO8" i="7"/>
  <c r="BO18" i="7" s="1"/>
  <c r="BO19" i="7" s="1"/>
  <c r="BN8" i="7"/>
  <c r="BM8" i="7"/>
  <c r="BL8" i="7"/>
  <c r="BK8" i="7"/>
  <c r="BJ8" i="7"/>
  <c r="BI8" i="7"/>
  <c r="BG8" i="7"/>
  <c r="BD8" i="7"/>
  <c r="BC8" i="7"/>
  <c r="BB8" i="7"/>
  <c r="BA8" i="7"/>
  <c r="AZ8" i="7"/>
  <c r="AY8" i="7"/>
  <c r="AV8" i="7"/>
  <c r="AV19" i="7" s="1"/>
  <c r="AU8" i="7"/>
  <c r="AT8" i="7"/>
  <c r="AS8" i="7"/>
  <c r="AR8" i="7"/>
  <c r="AQ8" i="7"/>
  <c r="AP8" i="7"/>
  <c r="AO8" i="7"/>
  <c r="AN8" i="7"/>
  <c r="AN19" i="7" s="1"/>
  <c r="AM8" i="7"/>
  <c r="AL8" i="7"/>
  <c r="AK8" i="7"/>
  <c r="AJ8" i="7"/>
  <c r="AI8" i="7"/>
  <c r="AH8" i="7"/>
  <c r="AG8" i="7"/>
  <c r="AX8" i="7" s="1"/>
  <c r="AF8" i="7"/>
  <c r="AA8" i="7"/>
  <c r="S8" i="7"/>
  <c r="O8" i="7"/>
  <c r="T8" i="7" s="1"/>
  <c r="U8" i="7" s="1"/>
  <c r="D22" i="7" s="1"/>
  <c r="CF7" i="7"/>
  <c r="CE7" i="7"/>
  <c r="CD7" i="7"/>
  <c r="CC7" i="7"/>
  <c r="CB7" i="7"/>
  <c r="CA7" i="7"/>
  <c r="BX7" i="7"/>
  <c r="BX18" i="7" s="1"/>
  <c r="BX19" i="7" s="1"/>
  <c r="BW7" i="7"/>
  <c r="BV7" i="7"/>
  <c r="BU7" i="7"/>
  <c r="BT7" i="7"/>
  <c r="BS7" i="7"/>
  <c r="BR7" i="7"/>
  <c r="BQ7" i="7"/>
  <c r="BP7" i="7"/>
  <c r="BP18" i="7" s="1"/>
  <c r="BP19" i="7" s="1"/>
  <c r="BO7" i="7"/>
  <c r="BN7" i="7"/>
  <c r="BM7" i="7"/>
  <c r="BL7" i="7"/>
  <c r="BK7" i="7"/>
  <c r="BJ7" i="7"/>
  <c r="BI7" i="7"/>
  <c r="BI18" i="7" s="1"/>
  <c r="BI19" i="7" s="1"/>
  <c r="BH7" i="7"/>
  <c r="BH8" i="7" s="1"/>
  <c r="BH9" i="7" s="1"/>
  <c r="BH10" i="7" s="1"/>
  <c r="BH11" i="7" s="1"/>
  <c r="BH12" i="7" s="1"/>
  <c r="BH13" i="7" s="1"/>
  <c r="BH14" i="7" s="1"/>
  <c r="BH15" i="7" s="1"/>
  <c r="BH16" i="7" s="1"/>
  <c r="BH17" i="7" s="1"/>
  <c r="BC7" i="7"/>
  <c r="BB7" i="7"/>
  <c r="BA7" i="7"/>
  <c r="AZ7" i="7"/>
  <c r="AY7" i="7"/>
  <c r="BD7" i="7" s="1"/>
  <c r="AV7" i="7"/>
  <c r="AU7" i="7"/>
  <c r="AW7" i="7" s="1"/>
  <c r="AT7" i="7"/>
  <c r="AT19" i="7" s="1"/>
  <c r="AS7" i="7"/>
  <c r="AR7" i="7"/>
  <c r="AQ7" i="7"/>
  <c r="AP7" i="7"/>
  <c r="AP19" i="7" s="1"/>
  <c r="AO7" i="7"/>
  <c r="AN7" i="7"/>
  <c r="AM7" i="7"/>
  <c r="AL7" i="7"/>
  <c r="AL19" i="7" s="1"/>
  <c r="AK7" i="7"/>
  <c r="AJ7" i="7"/>
  <c r="AI7" i="7"/>
  <c r="AH7" i="7"/>
  <c r="AH19" i="7" s="1"/>
  <c r="AG7" i="7"/>
  <c r="AF7" i="7"/>
  <c r="AA7" i="7"/>
  <c r="AB7" i="7" s="1"/>
  <c r="C23" i="7" s="1"/>
  <c r="T7" i="7"/>
  <c r="U7" i="7" s="1"/>
  <c r="C22" i="7" s="1"/>
  <c r="S7" i="7"/>
  <c r="O7" i="7"/>
  <c r="A7" i="7"/>
  <c r="A8" i="7" s="1"/>
  <c r="A9" i="7" s="1"/>
  <c r="CJ6" i="7"/>
  <c r="CE6" i="7"/>
  <c r="CD6" i="7"/>
  <c r="CC6" i="7"/>
  <c r="CC18" i="7" s="1"/>
  <c r="CB6" i="7"/>
  <c r="CB18" i="7" s="1"/>
  <c r="CB19" i="7" s="1"/>
  <c r="CA6" i="7"/>
  <c r="CF6" i="7" s="1"/>
  <c r="BX6" i="7"/>
  <c r="BW6" i="7"/>
  <c r="BV6" i="7"/>
  <c r="BU6" i="7"/>
  <c r="BT6" i="7"/>
  <c r="BS6" i="7"/>
  <c r="BR6" i="7"/>
  <c r="BR18" i="7" s="1"/>
  <c r="BR19" i="7" s="1"/>
  <c r="BQ6" i="7"/>
  <c r="BP6" i="7"/>
  <c r="BO6" i="7"/>
  <c r="BN6" i="7"/>
  <c r="BM6" i="7"/>
  <c r="BL6" i="7"/>
  <c r="BK6" i="7"/>
  <c r="BK18" i="7" s="1"/>
  <c r="BK19" i="7" s="1"/>
  <c r="BJ6" i="7"/>
  <c r="BJ18" i="7" s="1"/>
  <c r="BJ19" i="7" s="1"/>
  <c r="BI6" i="7"/>
  <c r="BC6" i="7"/>
  <c r="BC19" i="7" s="1"/>
  <c r="BB6" i="7"/>
  <c r="BA6" i="7"/>
  <c r="BA19" i="7" s="1"/>
  <c r="AZ6" i="7"/>
  <c r="AZ19" i="7" s="1"/>
  <c r="AY6" i="7"/>
  <c r="AV6" i="7"/>
  <c r="AU6" i="7"/>
  <c r="AW6" i="7" s="1"/>
  <c r="AT6" i="7"/>
  <c r="AS6" i="7"/>
  <c r="AS19" i="7" s="1"/>
  <c r="AR6" i="7"/>
  <c r="AQ6" i="7"/>
  <c r="AQ19" i="7" s="1"/>
  <c r="AP6" i="7"/>
  <c r="AO6" i="7"/>
  <c r="AN6" i="7"/>
  <c r="AM6" i="7"/>
  <c r="AM19" i="7" s="1"/>
  <c r="AL6" i="7"/>
  <c r="AK6" i="7"/>
  <c r="AK19" i="7" s="1"/>
  <c r="AJ6" i="7"/>
  <c r="AI6" i="7"/>
  <c r="AI19" i="7" s="1"/>
  <c r="AH6" i="7"/>
  <c r="AG6" i="7"/>
  <c r="AF6" i="7"/>
  <c r="AA6" i="7"/>
  <c r="S6" i="7"/>
  <c r="O6" i="7"/>
  <c r="T6" i="7" s="1"/>
  <c r="U6" i="7" s="1"/>
  <c r="BF33" i="6"/>
  <c r="X31" i="6"/>
  <c r="W31" i="6"/>
  <c r="Q31" i="6"/>
  <c r="X30" i="6"/>
  <c r="W30" i="6"/>
  <c r="Q30" i="6"/>
  <c r="X29" i="6"/>
  <c r="W29" i="6"/>
  <c r="Q29" i="6"/>
  <c r="M29" i="6"/>
  <c r="L29" i="6"/>
  <c r="K29" i="6"/>
  <c r="J29" i="6"/>
  <c r="I29" i="6"/>
  <c r="H29" i="6"/>
  <c r="G29" i="6"/>
  <c r="F29" i="6"/>
  <c r="E29" i="6"/>
  <c r="N29" i="6" s="1"/>
  <c r="D29" i="6"/>
  <c r="C29" i="6"/>
  <c r="B29" i="6"/>
  <c r="X28" i="6"/>
  <c r="W28" i="6"/>
  <c r="Q28" i="6"/>
  <c r="N28" i="6"/>
  <c r="X27" i="6"/>
  <c r="W27" i="6"/>
  <c r="Q27" i="6"/>
  <c r="N27" i="6"/>
  <c r="X26" i="6"/>
  <c r="W26" i="6"/>
  <c r="Q26" i="6"/>
  <c r="BF25" i="6"/>
  <c r="X25" i="6"/>
  <c r="W25" i="6"/>
  <c r="Q25" i="6"/>
  <c r="BF24" i="6"/>
  <c r="X24" i="6"/>
  <c r="W24" i="6"/>
  <c r="Q24" i="6"/>
  <c r="X23" i="6"/>
  <c r="W23" i="6"/>
  <c r="Q23" i="6"/>
  <c r="W22" i="6"/>
  <c r="Q22" i="6"/>
  <c r="Z21" i="6"/>
  <c r="W21" i="6"/>
  <c r="Q21" i="6"/>
  <c r="O21" i="6"/>
  <c r="B21" i="6"/>
  <c r="C21" i="6" s="1"/>
  <c r="D21" i="6" s="1"/>
  <c r="E21" i="6" s="1"/>
  <c r="F21" i="6" s="1"/>
  <c r="G21" i="6" s="1"/>
  <c r="H21" i="6" s="1"/>
  <c r="I21" i="6" s="1"/>
  <c r="J21" i="6" s="1"/>
  <c r="K21" i="6" s="1"/>
  <c r="L21" i="6" s="1"/>
  <c r="M21" i="6" s="1"/>
  <c r="W20" i="6"/>
  <c r="V20" i="6"/>
  <c r="Q20" i="6"/>
  <c r="N20" i="6"/>
  <c r="AF19" i="6"/>
  <c r="X19" i="6"/>
  <c r="R19" i="6"/>
  <c r="P19" i="6"/>
  <c r="K19" i="6"/>
  <c r="J19" i="6"/>
  <c r="H19" i="6"/>
  <c r="G19" i="6"/>
  <c r="C19" i="6"/>
  <c r="B19" i="6"/>
  <c r="BQ18" i="6"/>
  <c r="BQ19" i="6" s="1"/>
  <c r="Z18" i="6"/>
  <c r="Z19" i="6" s="1"/>
  <c r="Y18" i="6"/>
  <c r="Y19" i="6" s="1"/>
  <c r="X18" i="6"/>
  <c r="W18" i="6"/>
  <c r="W19" i="6" s="1"/>
  <c r="V18" i="6"/>
  <c r="V19" i="6" s="1"/>
  <c r="AA19" i="6" s="1"/>
  <c r="R18" i="6"/>
  <c r="Q18" i="6"/>
  <c r="P18" i="6"/>
  <c r="N18" i="6"/>
  <c r="N19" i="6" s="1"/>
  <c r="M18" i="6"/>
  <c r="M19" i="6" s="1"/>
  <c r="L18" i="6"/>
  <c r="L19" i="6" s="1"/>
  <c r="K18" i="6"/>
  <c r="J18" i="6"/>
  <c r="I18" i="6"/>
  <c r="I19" i="6" s="1"/>
  <c r="H18" i="6"/>
  <c r="G18" i="6"/>
  <c r="F18" i="6"/>
  <c r="F19" i="6" s="1"/>
  <c r="E18" i="6"/>
  <c r="E19" i="6" s="1"/>
  <c r="D18" i="6"/>
  <c r="D19" i="6" s="1"/>
  <c r="C18" i="6"/>
  <c r="B18" i="6"/>
  <c r="CE17" i="6"/>
  <c r="CD17" i="6"/>
  <c r="CC17" i="6"/>
  <c r="CF17" i="6" s="1"/>
  <c r="CB17" i="6"/>
  <c r="CA17" i="6"/>
  <c r="BX17" i="6"/>
  <c r="BY17" i="6" s="1"/>
  <c r="BZ17" i="6" s="1"/>
  <c r="CI17" i="6" s="1"/>
  <c r="BW17" i="6"/>
  <c r="BV17" i="6"/>
  <c r="BU17" i="6"/>
  <c r="BT17" i="6"/>
  <c r="BS17" i="6"/>
  <c r="BR17" i="6"/>
  <c r="BQ17" i="6"/>
  <c r="BP17" i="6"/>
  <c r="BO17" i="6"/>
  <c r="BN17" i="6"/>
  <c r="BM17" i="6"/>
  <c r="BL17" i="6"/>
  <c r="BK17" i="6"/>
  <c r="BJ17" i="6"/>
  <c r="BI17" i="6"/>
  <c r="BC17" i="6"/>
  <c r="BB17" i="6"/>
  <c r="BA17" i="6"/>
  <c r="AZ17" i="6"/>
  <c r="AY17" i="6"/>
  <c r="AV17" i="6"/>
  <c r="AU17" i="6"/>
  <c r="AW17" i="6" s="1"/>
  <c r="AT17" i="6"/>
  <c r="AS17" i="6"/>
  <c r="AR17" i="6"/>
  <c r="AQ17" i="6"/>
  <c r="AP17" i="6"/>
  <c r="AO17" i="6"/>
  <c r="AN17" i="6"/>
  <c r="AM17" i="6"/>
  <c r="AL17" i="6"/>
  <c r="AK17" i="6"/>
  <c r="AJ17" i="6"/>
  <c r="AI17" i="6"/>
  <c r="AH17" i="6"/>
  <c r="AX17" i="6" s="1"/>
  <c r="AG17" i="6"/>
  <c r="AA17" i="6"/>
  <c r="T17" i="6"/>
  <c r="U17" i="6" s="1"/>
  <c r="M22" i="6" s="1"/>
  <c r="S17" i="6"/>
  <c r="O17" i="6"/>
  <c r="CE16" i="6"/>
  <c r="CD16" i="6"/>
  <c r="CC16" i="6"/>
  <c r="CB16" i="6"/>
  <c r="CA16" i="6"/>
  <c r="BY16" i="6"/>
  <c r="BZ16" i="6" s="1"/>
  <c r="CI16" i="6" s="1"/>
  <c r="BX16" i="6"/>
  <c r="BW16" i="6"/>
  <c r="BV16" i="6"/>
  <c r="BU16" i="6"/>
  <c r="BT16" i="6"/>
  <c r="BS16" i="6"/>
  <c r="BR16" i="6"/>
  <c r="BQ16" i="6"/>
  <c r="BP16" i="6"/>
  <c r="BO16" i="6"/>
  <c r="BN16" i="6"/>
  <c r="BM16" i="6"/>
  <c r="BL16" i="6"/>
  <c r="BK16" i="6"/>
  <c r="BJ16" i="6"/>
  <c r="BI16" i="6"/>
  <c r="BD16" i="6"/>
  <c r="BC16" i="6"/>
  <c r="BB16" i="6"/>
  <c r="BA16" i="6"/>
  <c r="AZ16" i="6"/>
  <c r="AY16" i="6"/>
  <c r="AV16" i="6"/>
  <c r="AW16" i="6" s="1"/>
  <c r="AU16" i="6"/>
  <c r="AT16" i="6"/>
  <c r="AS16" i="6"/>
  <c r="AR16" i="6"/>
  <c r="AQ16" i="6"/>
  <c r="AP16" i="6"/>
  <c r="AO16" i="6"/>
  <c r="AN16" i="6"/>
  <c r="AM16" i="6"/>
  <c r="AL16" i="6"/>
  <c r="AK16" i="6"/>
  <c r="AJ16" i="6"/>
  <c r="AI16" i="6"/>
  <c r="AH16" i="6"/>
  <c r="AG16" i="6"/>
  <c r="AA16" i="6"/>
  <c r="AB16" i="6" s="1"/>
  <c r="L23" i="6" s="1"/>
  <c r="S16" i="6"/>
  <c r="O16" i="6"/>
  <c r="T16" i="6" s="1"/>
  <c r="U16" i="6" s="1"/>
  <c r="L22" i="6" s="1"/>
  <c r="CE15" i="6"/>
  <c r="CD15" i="6"/>
  <c r="CC15" i="6"/>
  <c r="CB15" i="6"/>
  <c r="CA15" i="6"/>
  <c r="BX15" i="6"/>
  <c r="BW15" i="6"/>
  <c r="BY15" i="6" s="1"/>
  <c r="BZ15" i="6" s="1"/>
  <c r="CI15" i="6" s="1"/>
  <c r="BV15" i="6"/>
  <c r="BU15" i="6"/>
  <c r="BT15" i="6"/>
  <c r="BS15" i="6"/>
  <c r="BR15" i="6"/>
  <c r="BQ15" i="6"/>
  <c r="BP15" i="6"/>
  <c r="BO15" i="6"/>
  <c r="BN15" i="6"/>
  <c r="BM15" i="6"/>
  <c r="BL15" i="6"/>
  <c r="BK15" i="6"/>
  <c r="BJ15" i="6"/>
  <c r="BI15" i="6"/>
  <c r="BC15" i="6"/>
  <c r="BB15" i="6"/>
  <c r="BA15" i="6"/>
  <c r="AZ15" i="6"/>
  <c r="AY15" i="6"/>
  <c r="AV15" i="6"/>
  <c r="AU15" i="6"/>
  <c r="AW15" i="6" s="1"/>
  <c r="AT15" i="6"/>
  <c r="AS15" i="6"/>
  <c r="AR15" i="6"/>
  <c r="AQ15" i="6"/>
  <c r="AP15" i="6"/>
  <c r="AO15" i="6"/>
  <c r="AN15" i="6"/>
  <c r="AM15" i="6"/>
  <c r="AL15" i="6"/>
  <c r="AK15" i="6"/>
  <c r="AJ15" i="6"/>
  <c r="AI15" i="6"/>
  <c r="AH15" i="6"/>
  <c r="AG15" i="6"/>
  <c r="AA15" i="6"/>
  <c r="AC15" i="6" s="1"/>
  <c r="AD15" i="6" s="1"/>
  <c r="K24" i="6" s="1"/>
  <c r="S15" i="6"/>
  <c r="T15" i="6" s="1"/>
  <c r="U15" i="6" s="1"/>
  <c r="K22" i="6" s="1"/>
  <c r="O15" i="6"/>
  <c r="CF14" i="6"/>
  <c r="CJ14" i="6" s="1"/>
  <c r="CE14" i="6"/>
  <c r="CD14" i="6"/>
  <c r="CC14" i="6"/>
  <c r="CB14" i="6"/>
  <c r="CA14" i="6"/>
  <c r="BX14" i="6"/>
  <c r="BW14" i="6"/>
  <c r="BV14" i="6"/>
  <c r="BY14" i="6" s="1"/>
  <c r="BU14" i="6"/>
  <c r="BT14" i="6"/>
  <c r="BS14" i="6"/>
  <c r="BR14" i="6"/>
  <c r="BQ14" i="6"/>
  <c r="BP14" i="6"/>
  <c r="BO14" i="6"/>
  <c r="BN14" i="6"/>
  <c r="BM14" i="6"/>
  <c r="BL14" i="6"/>
  <c r="BK14" i="6"/>
  <c r="BJ14" i="6"/>
  <c r="BI14" i="6"/>
  <c r="BC14" i="6"/>
  <c r="BB14" i="6"/>
  <c r="BD14" i="6" s="1"/>
  <c r="BA14" i="6"/>
  <c r="AZ14" i="6"/>
  <c r="AY14" i="6"/>
  <c r="AV14" i="6"/>
  <c r="AU14" i="6"/>
  <c r="AW14" i="6" s="1"/>
  <c r="AT14" i="6"/>
  <c r="AS14" i="6"/>
  <c r="AR14" i="6"/>
  <c r="AQ14" i="6"/>
  <c r="AP14" i="6"/>
  <c r="AO14" i="6"/>
  <c r="AN14" i="6"/>
  <c r="AM14" i="6"/>
  <c r="AL14" i="6"/>
  <c r="AK14" i="6"/>
  <c r="AJ14" i="6"/>
  <c r="AI14" i="6"/>
  <c r="AH14" i="6"/>
  <c r="AX14" i="6" s="1"/>
  <c r="AG14" i="6"/>
  <c r="AC14" i="6"/>
  <c r="AD14" i="6" s="1"/>
  <c r="J24" i="6" s="1"/>
  <c r="AB14" i="6"/>
  <c r="J23" i="6" s="1"/>
  <c r="J36" i="6" s="1"/>
  <c r="AA14" i="6"/>
  <c r="T14" i="6"/>
  <c r="U14" i="6" s="1"/>
  <c r="J22" i="6" s="1"/>
  <c r="S14" i="6"/>
  <c r="O14" i="6"/>
  <c r="CJ13" i="6"/>
  <c r="CE13" i="6"/>
  <c r="CD13" i="6"/>
  <c r="CC13" i="6"/>
  <c r="CB13" i="6"/>
  <c r="CA13" i="6"/>
  <c r="CF13" i="6" s="1"/>
  <c r="BX13" i="6"/>
  <c r="BW13" i="6"/>
  <c r="BY13" i="6" s="1"/>
  <c r="BZ13" i="6" s="1"/>
  <c r="BV13" i="6"/>
  <c r="BU13" i="6"/>
  <c r="BT13" i="6"/>
  <c r="BS13" i="6"/>
  <c r="BR13" i="6"/>
  <c r="BQ13" i="6"/>
  <c r="BP13" i="6"/>
  <c r="BO13" i="6"/>
  <c r="BN13" i="6"/>
  <c r="BM13" i="6"/>
  <c r="BL13" i="6"/>
  <c r="BK13" i="6"/>
  <c r="BJ13" i="6"/>
  <c r="BI13" i="6"/>
  <c r="BD13" i="6"/>
  <c r="BC13" i="6"/>
  <c r="BB13" i="6"/>
  <c r="BA13" i="6"/>
  <c r="AZ13" i="6"/>
  <c r="AY13" i="6"/>
  <c r="AV13" i="6"/>
  <c r="AU13" i="6"/>
  <c r="AW13" i="6" s="1"/>
  <c r="AT13" i="6"/>
  <c r="AS13" i="6"/>
  <c r="AR13" i="6"/>
  <c r="AQ13" i="6"/>
  <c r="AP13" i="6"/>
  <c r="AO13" i="6"/>
  <c r="AN13" i="6"/>
  <c r="AM13" i="6"/>
  <c r="AL13" i="6"/>
  <c r="AK13" i="6"/>
  <c r="AJ13" i="6"/>
  <c r="AI13" i="6"/>
  <c r="AH13" i="6"/>
  <c r="AG13" i="6"/>
  <c r="AA13" i="6"/>
  <c r="AB13" i="6" s="1"/>
  <c r="I23" i="6" s="1"/>
  <c r="S13" i="6"/>
  <c r="O13" i="6"/>
  <c r="T13" i="6" s="1"/>
  <c r="AC13" i="6" s="1"/>
  <c r="AD13" i="6" s="1"/>
  <c r="I24" i="6" s="1"/>
  <c r="CE12" i="6"/>
  <c r="CD12" i="6"/>
  <c r="CC12" i="6"/>
  <c r="CF12" i="6" s="1"/>
  <c r="CB12" i="6"/>
  <c r="CA12" i="6"/>
  <c r="BZ12" i="6"/>
  <c r="CI12" i="6" s="1"/>
  <c r="BX12" i="6"/>
  <c r="BW12" i="6"/>
  <c r="BV12" i="6"/>
  <c r="BY12" i="6" s="1"/>
  <c r="BU12" i="6"/>
  <c r="BT12" i="6"/>
  <c r="BS12" i="6"/>
  <c r="BR12" i="6"/>
  <c r="BQ12" i="6"/>
  <c r="BP12" i="6"/>
  <c r="BO12" i="6"/>
  <c r="BN12" i="6"/>
  <c r="BM12" i="6"/>
  <c r="BL12" i="6"/>
  <c r="BK12" i="6"/>
  <c r="BJ12" i="6"/>
  <c r="BI12" i="6"/>
  <c r="BC12" i="6"/>
  <c r="BB12" i="6"/>
  <c r="BA12" i="6"/>
  <c r="AZ12" i="6"/>
  <c r="BD12" i="6" s="1"/>
  <c r="AY12" i="6"/>
  <c r="AV12" i="6"/>
  <c r="AW12" i="6" s="1"/>
  <c r="AU12" i="6"/>
  <c r="AT12" i="6"/>
  <c r="AS12" i="6"/>
  <c r="AR12" i="6"/>
  <c r="AQ12" i="6"/>
  <c r="AP12" i="6"/>
  <c r="AO12" i="6"/>
  <c r="AN12" i="6"/>
  <c r="AM12" i="6"/>
  <c r="AL12" i="6"/>
  <c r="AK12" i="6"/>
  <c r="AJ12" i="6"/>
  <c r="AI12" i="6"/>
  <c r="AH12" i="6"/>
  <c r="AG12" i="6"/>
  <c r="AX12" i="6" s="1"/>
  <c r="AA12" i="6"/>
  <c r="AB12" i="6" s="1"/>
  <c r="H23" i="6" s="1"/>
  <c r="S12" i="6"/>
  <c r="T12" i="6" s="1"/>
  <c r="U12" i="6" s="1"/>
  <c r="H22" i="6" s="1"/>
  <c r="O12" i="6"/>
  <c r="CE11" i="6"/>
  <c r="CD11" i="6"/>
  <c r="CF11" i="6" s="1"/>
  <c r="CC11" i="6"/>
  <c r="CB11" i="6"/>
  <c r="CA11" i="6"/>
  <c r="BX11" i="6"/>
  <c r="BW11" i="6"/>
  <c r="BV11" i="6"/>
  <c r="BU11" i="6"/>
  <c r="BT11" i="6"/>
  <c r="BS11" i="6"/>
  <c r="BR11" i="6"/>
  <c r="BQ11" i="6"/>
  <c r="BP11" i="6"/>
  <c r="BO11" i="6"/>
  <c r="BN11" i="6"/>
  <c r="BM11" i="6"/>
  <c r="BL11" i="6"/>
  <c r="BK11" i="6"/>
  <c r="BJ11" i="6"/>
  <c r="BI11" i="6"/>
  <c r="BD11" i="6"/>
  <c r="BE11" i="6" s="1"/>
  <c r="BC11" i="6"/>
  <c r="BB11" i="6"/>
  <c r="BA11" i="6"/>
  <c r="AZ11" i="6"/>
  <c r="AY11" i="6"/>
  <c r="AV11" i="6"/>
  <c r="AW11" i="6" s="1"/>
  <c r="AU11" i="6"/>
  <c r="AT11" i="6"/>
  <c r="AS11" i="6"/>
  <c r="AR11" i="6"/>
  <c r="AQ11" i="6"/>
  <c r="AP11" i="6"/>
  <c r="AO11" i="6"/>
  <c r="AN11" i="6"/>
  <c r="AM11" i="6"/>
  <c r="AL11" i="6"/>
  <c r="AK11" i="6"/>
  <c r="AJ11" i="6"/>
  <c r="AI11" i="6"/>
  <c r="AH11" i="6"/>
  <c r="AG11" i="6"/>
  <c r="AX11" i="6" s="1"/>
  <c r="AB11" i="6"/>
  <c r="G23" i="6" s="1"/>
  <c r="AA11" i="6"/>
  <c r="S11" i="6"/>
  <c r="BY11" i="6" s="1"/>
  <c r="BZ11" i="6" s="1"/>
  <c r="CI11" i="6" s="1"/>
  <c r="O11" i="6"/>
  <c r="O25" i="6" s="1"/>
  <c r="CE10" i="6"/>
  <c r="CD10" i="6"/>
  <c r="CC10" i="6"/>
  <c r="CB10" i="6"/>
  <c r="CF10" i="6" s="1"/>
  <c r="CA10" i="6"/>
  <c r="BX10" i="6"/>
  <c r="BY10" i="6" s="1"/>
  <c r="BZ10" i="6" s="1"/>
  <c r="CI10" i="6" s="1"/>
  <c r="BW10" i="6"/>
  <c r="BV10" i="6"/>
  <c r="BU10" i="6"/>
  <c r="BT10" i="6"/>
  <c r="BS10" i="6"/>
  <c r="BR10" i="6"/>
  <c r="BQ10" i="6"/>
  <c r="BP10" i="6"/>
  <c r="BO10" i="6"/>
  <c r="BN10" i="6"/>
  <c r="BM10" i="6"/>
  <c r="BL10" i="6"/>
  <c r="BK10" i="6"/>
  <c r="BJ10" i="6"/>
  <c r="BI10" i="6"/>
  <c r="BC10" i="6"/>
  <c r="BB10" i="6"/>
  <c r="BA10" i="6"/>
  <c r="AZ10" i="6"/>
  <c r="AY10" i="6"/>
  <c r="AW10" i="6"/>
  <c r="AV10" i="6"/>
  <c r="AU10" i="6"/>
  <c r="AT10" i="6"/>
  <c r="AS10" i="6"/>
  <c r="AR10" i="6"/>
  <c r="AQ10" i="6"/>
  <c r="AP10" i="6"/>
  <c r="AO10" i="6"/>
  <c r="AN10" i="6"/>
  <c r="AM10" i="6"/>
  <c r="AL10" i="6"/>
  <c r="AK10" i="6"/>
  <c r="AJ10" i="6"/>
  <c r="AI10" i="6"/>
  <c r="AH10" i="6"/>
  <c r="AG10" i="6"/>
  <c r="AX10" i="6" s="1"/>
  <c r="AA10" i="6"/>
  <c r="AB10" i="6" s="1"/>
  <c r="F23" i="6" s="1"/>
  <c r="T10" i="6"/>
  <c r="U10" i="6" s="1"/>
  <c r="F22" i="6" s="1"/>
  <c r="S10" i="6"/>
  <c r="O10" i="6"/>
  <c r="O24" i="6" s="1"/>
  <c r="CF9" i="6"/>
  <c r="CJ9" i="6" s="1"/>
  <c r="CE9" i="6"/>
  <c r="CD9" i="6"/>
  <c r="CC9" i="6"/>
  <c r="CB9" i="6"/>
  <c r="CA9" i="6"/>
  <c r="BX9" i="6"/>
  <c r="BY9" i="6" s="1"/>
  <c r="BZ9" i="6" s="1"/>
  <c r="CI9" i="6" s="1"/>
  <c r="BW9" i="6"/>
  <c r="BV9" i="6"/>
  <c r="BU9" i="6"/>
  <c r="BT9" i="6"/>
  <c r="BS9" i="6"/>
  <c r="BR9" i="6"/>
  <c r="BQ9" i="6"/>
  <c r="BP9" i="6"/>
  <c r="BO9" i="6"/>
  <c r="BN9" i="6"/>
  <c r="BM9" i="6"/>
  <c r="BL9" i="6"/>
  <c r="BK9" i="6"/>
  <c r="BJ9" i="6"/>
  <c r="BI9" i="6"/>
  <c r="BH9" i="6"/>
  <c r="BH10" i="6" s="1"/>
  <c r="BH11" i="6" s="1"/>
  <c r="BH12" i="6" s="1"/>
  <c r="BH13" i="6" s="1"/>
  <c r="BH14" i="6" s="1"/>
  <c r="BH15" i="6" s="1"/>
  <c r="BH16" i="6" s="1"/>
  <c r="BH17" i="6" s="1"/>
  <c r="BC9" i="6"/>
  <c r="BB9" i="6"/>
  <c r="BA9" i="6"/>
  <c r="AZ9" i="6"/>
  <c r="AY9" i="6"/>
  <c r="BD9" i="6" s="1"/>
  <c r="AV9" i="6"/>
  <c r="AV19" i="6" s="1"/>
  <c r="AU9" i="6"/>
  <c r="AT9" i="6"/>
  <c r="AS9" i="6"/>
  <c r="AR9" i="6"/>
  <c r="AQ9" i="6"/>
  <c r="AP9" i="6"/>
  <c r="AO9" i="6"/>
  <c r="AN9" i="6"/>
  <c r="AX9" i="6" s="1"/>
  <c r="AM9" i="6"/>
  <c r="AL9" i="6"/>
  <c r="AK9" i="6"/>
  <c r="AJ9" i="6"/>
  <c r="AI9" i="6"/>
  <c r="AH9" i="6"/>
  <c r="AG9" i="6"/>
  <c r="AA9" i="6"/>
  <c r="S9" i="6"/>
  <c r="O9" i="6"/>
  <c r="O23" i="6" s="1"/>
  <c r="CE8" i="6"/>
  <c r="CD8" i="6"/>
  <c r="CC8" i="6"/>
  <c r="CB8" i="6"/>
  <c r="CA8" i="6"/>
  <c r="BX8" i="6"/>
  <c r="BW8" i="6"/>
  <c r="BV8" i="6"/>
  <c r="BY8" i="6" s="1"/>
  <c r="BZ8" i="6" s="1"/>
  <c r="CI8" i="6" s="1"/>
  <c r="BU8" i="6"/>
  <c r="BT8" i="6"/>
  <c r="BS8" i="6"/>
  <c r="BR8" i="6"/>
  <c r="BQ8" i="6"/>
  <c r="BP8" i="6"/>
  <c r="BO8" i="6"/>
  <c r="BN8" i="6"/>
  <c r="BN18" i="6" s="1"/>
  <c r="BN19" i="6" s="1"/>
  <c r="BM8" i="6"/>
  <c r="BL8" i="6"/>
  <c r="BK8" i="6"/>
  <c r="BJ8" i="6"/>
  <c r="BI8" i="6"/>
  <c r="BC8" i="6"/>
  <c r="BB8" i="6"/>
  <c r="BB19" i="6" s="1"/>
  <c r="BA8" i="6"/>
  <c r="BD8" i="6" s="1"/>
  <c r="AZ8" i="6"/>
  <c r="AY8" i="6"/>
  <c r="AW8" i="6"/>
  <c r="AV8" i="6"/>
  <c r="AU8" i="6"/>
  <c r="AT8" i="6"/>
  <c r="AS8" i="6"/>
  <c r="AR8" i="6"/>
  <c r="AQ8" i="6"/>
  <c r="AP8" i="6"/>
  <c r="AO8" i="6"/>
  <c r="AN8" i="6"/>
  <c r="AM8" i="6"/>
  <c r="AL8" i="6"/>
  <c r="AL19" i="6" s="1"/>
  <c r="AK8" i="6"/>
  <c r="AK19" i="6" s="1"/>
  <c r="AJ8" i="6"/>
  <c r="AI8" i="6"/>
  <c r="AH8" i="6"/>
  <c r="AG8" i="6"/>
  <c r="AA8" i="6"/>
  <c r="AB8" i="6" s="1"/>
  <c r="D23" i="6" s="1"/>
  <c r="S8" i="6"/>
  <c r="O8" i="6"/>
  <c r="CE7" i="6"/>
  <c r="CF7" i="6" s="1"/>
  <c r="CD7" i="6"/>
  <c r="CC7" i="6"/>
  <c r="CB7" i="6"/>
  <c r="CA7" i="6"/>
  <c r="BX7" i="6"/>
  <c r="BW7" i="6"/>
  <c r="BY7" i="6" s="1"/>
  <c r="BZ7" i="6" s="1"/>
  <c r="CI7" i="6" s="1"/>
  <c r="BV7" i="6"/>
  <c r="BU7" i="6"/>
  <c r="BT7" i="6"/>
  <c r="BS7" i="6"/>
  <c r="BR7" i="6"/>
  <c r="BQ7" i="6"/>
  <c r="BP7" i="6"/>
  <c r="BO7" i="6"/>
  <c r="BO18" i="6" s="1"/>
  <c r="BO19" i="6" s="1"/>
  <c r="BN7" i="6"/>
  <c r="BM7" i="6"/>
  <c r="BL7" i="6"/>
  <c r="BK7" i="6"/>
  <c r="BJ7" i="6"/>
  <c r="BI7" i="6"/>
  <c r="BH7" i="6"/>
  <c r="BH8" i="6" s="1"/>
  <c r="BC7" i="6"/>
  <c r="BC19" i="6" s="1"/>
  <c r="BB7" i="6"/>
  <c r="BA7" i="6"/>
  <c r="AZ7" i="6"/>
  <c r="AY7" i="6"/>
  <c r="AV7" i="6"/>
  <c r="AU7" i="6"/>
  <c r="AW7" i="6" s="1"/>
  <c r="AT7" i="6"/>
  <c r="AS7" i="6"/>
  <c r="AR7" i="6"/>
  <c r="AQ7" i="6"/>
  <c r="AP7" i="6"/>
  <c r="AO7" i="6"/>
  <c r="AN7" i="6"/>
  <c r="AM7" i="6"/>
  <c r="AL7" i="6"/>
  <c r="AK7" i="6"/>
  <c r="AJ7" i="6"/>
  <c r="AI7" i="6"/>
  <c r="AH7" i="6"/>
  <c r="AG7" i="6"/>
  <c r="AX7" i="6" s="1"/>
  <c r="AC7" i="6"/>
  <c r="AD7" i="6" s="1"/>
  <c r="C24" i="6" s="1"/>
  <c r="AA7" i="6"/>
  <c r="AB7" i="6" s="1"/>
  <c r="T7" i="6"/>
  <c r="U7" i="6" s="1"/>
  <c r="C22" i="6" s="1"/>
  <c r="S7" i="6"/>
  <c r="O7" i="6"/>
  <c r="A7" i="6"/>
  <c r="CE6" i="6"/>
  <c r="CD6" i="6"/>
  <c r="CD18" i="6" s="1"/>
  <c r="CD19" i="6" s="1"/>
  <c r="CC6" i="6"/>
  <c r="CB6" i="6"/>
  <c r="CA6" i="6"/>
  <c r="CF6" i="6" s="1"/>
  <c r="BX6" i="6"/>
  <c r="BY6" i="6" s="1"/>
  <c r="BW6" i="6"/>
  <c r="BV6" i="6"/>
  <c r="BU6" i="6"/>
  <c r="BT6" i="6"/>
  <c r="BS6" i="6"/>
  <c r="BS18" i="6" s="1"/>
  <c r="BS19" i="6" s="1"/>
  <c r="BR6" i="6"/>
  <c r="BR18" i="6" s="1"/>
  <c r="BR19" i="6" s="1"/>
  <c r="BQ6" i="6"/>
  <c r="BP6" i="6"/>
  <c r="BP18" i="6" s="1"/>
  <c r="BP19" i="6" s="1"/>
  <c r="BO6" i="6"/>
  <c r="BN6" i="6"/>
  <c r="BM6" i="6"/>
  <c r="BL6" i="6"/>
  <c r="BK6" i="6"/>
  <c r="BK18" i="6" s="1"/>
  <c r="BK19" i="6" s="1"/>
  <c r="BJ6" i="6"/>
  <c r="BJ18" i="6" s="1"/>
  <c r="BJ19" i="6" s="1"/>
  <c r="BI6" i="6"/>
  <c r="BI18" i="6" s="1"/>
  <c r="BI19" i="6" s="1"/>
  <c r="BH6" i="6"/>
  <c r="BC6" i="6"/>
  <c r="BB6" i="6"/>
  <c r="BA6" i="6"/>
  <c r="AZ6" i="6"/>
  <c r="AY6" i="6"/>
  <c r="AY19" i="6" s="1"/>
  <c r="AV6" i="6"/>
  <c r="AU6" i="6"/>
  <c r="AW6" i="6" s="1"/>
  <c r="AT6" i="6"/>
  <c r="AT19" i="6" s="1"/>
  <c r="AS6" i="6"/>
  <c r="AS19" i="6" s="1"/>
  <c r="AR6" i="6"/>
  <c r="AQ6" i="6"/>
  <c r="AQ19" i="6" s="1"/>
  <c r="AP6" i="6"/>
  <c r="AP19" i="6" s="1"/>
  <c r="AO6" i="6"/>
  <c r="AN6" i="6"/>
  <c r="AN19" i="6" s="1"/>
  <c r="AM6" i="6"/>
  <c r="AM19" i="6" s="1"/>
  <c r="AL6" i="6"/>
  <c r="AK6" i="6"/>
  <c r="AJ6" i="6"/>
  <c r="AI6" i="6"/>
  <c r="AI19" i="6" s="1"/>
  <c r="AH6" i="6"/>
  <c r="AH19" i="6" s="1"/>
  <c r="AG6" i="6"/>
  <c r="AF6" i="6"/>
  <c r="AB6" i="6"/>
  <c r="B23" i="6" s="1"/>
  <c r="AA6" i="6"/>
  <c r="T6" i="6"/>
  <c r="U6" i="6" s="1"/>
  <c r="S6" i="6"/>
  <c r="O6" i="6"/>
  <c r="O20" i="6" s="1"/>
  <c r="CJ12" i="8" l="1"/>
  <c r="CG12" i="8"/>
  <c r="BE14" i="8"/>
  <c r="E33" i="8"/>
  <c r="E25" i="8"/>
  <c r="E34" i="8" s="1"/>
  <c r="BE11" i="8"/>
  <c r="U14" i="8"/>
  <c r="J22" i="8" s="1"/>
  <c r="AC14" i="8"/>
  <c r="AD14" i="8" s="1"/>
  <c r="J24" i="8" s="1"/>
  <c r="J32" i="8" s="1"/>
  <c r="CH9" i="8"/>
  <c r="CK9" i="8"/>
  <c r="AC23" i="8"/>
  <c r="AD23" i="8" s="1"/>
  <c r="AD17" i="8"/>
  <c r="M24" i="8" s="1"/>
  <c r="BE16" i="8"/>
  <c r="G25" i="8"/>
  <c r="G34" i="8" s="1"/>
  <c r="G33" i="8"/>
  <c r="F32" i="8"/>
  <c r="F25" i="8"/>
  <c r="F34" i="8" s="1"/>
  <c r="CJ13" i="8"/>
  <c r="CG13" i="8"/>
  <c r="I25" i="8"/>
  <c r="I34" i="8" s="1"/>
  <c r="I33" i="8"/>
  <c r="CG14" i="8"/>
  <c r="CJ14" i="8"/>
  <c r="CG10" i="8"/>
  <c r="CJ10" i="8"/>
  <c r="G32" i="8"/>
  <c r="BE13" i="8"/>
  <c r="L25" i="8"/>
  <c r="L34" i="8" s="1"/>
  <c r="M33" i="8"/>
  <c r="K33" i="8"/>
  <c r="K25" i="8"/>
  <c r="K34" i="8" s="1"/>
  <c r="AI19" i="8"/>
  <c r="T7" i="8"/>
  <c r="U7" i="8" s="1"/>
  <c r="C22" i="8" s="1"/>
  <c r="O21" i="8"/>
  <c r="M25" i="8"/>
  <c r="M34" i="8" s="1"/>
  <c r="AR19" i="8"/>
  <c r="BN18" i="8"/>
  <c r="BN19" i="8" s="1"/>
  <c r="BV18" i="8"/>
  <c r="BV19" i="8" s="1"/>
  <c r="BY6" i="8"/>
  <c r="CF6" i="8"/>
  <c r="AF7" i="8"/>
  <c r="A8" i="8"/>
  <c r="AX8" i="8"/>
  <c r="BE8" i="8" s="1"/>
  <c r="AX16" i="8"/>
  <c r="CF16" i="8"/>
  <c r="CA18" i="8"/>
  <c r="CA19" i="8" s="1"/>
  <c r="AW6" i="8"/>
  <c r="BE6" i="8"/>
  <c r="AX7" i="8"/>
  <c r="BE7" i="8" s="1"/>
  <c r="CF7" i="8"/>
  <c r="O22" i="8"/>
  <c r="T8" i="8"/>
  <c r="U8" i="8" s="1"/>
  <c r="D22" i="8" s="1"/>
  <c r="AX11" i="8"/>
  <c r="BY14" i="8"/>
  <c r="BZ14" i="8" s="1"/>
  <c r="CI14" i="8" s="1"/>
  <c r="E32" i="8"/>
  <c r="AX13" i="8"/>
  <c r="AZ19" i="8"/>
  <c r="M32" i="8"/>
  <c r="BZ17" i="8"/>
  <c r="CI17" i="8" s="1"/>
  <c r="T6" i="8"/>
  <c r="AK19" i="8"/>
  <c r="AS19" i="8"/>
  <c r="BA19" i="8"/>
  <c r="CC18" i="8"/>
  <c r="CC19" i="8" s="1"/>
  <c r="AC7" i="8"/>
  <c r="AD7" i="8" s="1"/>
  <c r="C24" i="8" s="1"/>
  <c r="C32" i="8" s="1"/>
  <c r="AW8" i="8"/>
  <c r="BD10" i="8"/>
  <c r="BE10" i="8" s="1"/>
  <c r="AC16" i="8"/>
  <c r="CF17" i="8"/>
  <c r="Q19" i="8"/>
  <c r="S19" i="8" s="1"/>
  <c r="S18" i="8"/>
  <c r="AQ19" i="8"/>
  <c r="D32" i="8"/>
  <c r="AJ19" i="8"/>
  <c r="AC8" i="8"/>
  <c r="AD8" i="8" s="1"/>
  <c r="D24" i="8" s="1"/>
  <c r="B23" i="8"/>
  <c r="AL19" i="8"/>
  <c r="AT19" i="8"/>
  <c r="BB19" i="8"/>
  <c r="BL18" i="8"/>
  <c r="BL19" i="8" s="1"/>
  <c r="BT18" i="8"/>
  <c r="BT19" i="8" s="1"/>
  <c r="CD18" i="8"/>
  <c r="CD19" i="8" s="1"/>
  <c r="BZ7" i="8"/>
  <c r="CI7" i="8" s="1"/>
  <c r="AX9" i="8"/>
  <c r="BD9" i="8"/>
  <c r="BE9" i="8" s="1"/>
  <c r="AC12" i="8"/>
  <c r="AB12" i="8"/>
  <c r="H23" i="8" s="1"/>
  <c r="AC15" i="8"/>
  <c r="AD15" i="8" s="1"/>
  <c r="K24" i="8" s="1"/>
  <c r="AA19" i="8"/>
  <c r="AX6" i="8"/>
  <c r="CJ15" i="8"/>
  <c r="AY19" i="8"/>
  <c r="O18" i="8"/>
  <c r="AM19" i="8"/>
  <c r="AU19" i="8"/>
  <c r="BC19" i="8"/>
  <c r="BM18" i="8"/>
  <c r="BM19" i="8" s="1"/>
  <c r="BU18" i="8"/>
  <c r="BU19" i="8" s="1"/>
  <c r="CF8" i="8"/>
  <c r="F33" i="8"/>
  <c r="AC11" i="8"/>
  <c r="AD11" i="8" s="1"/>
  <c r="G24" i="8" s="1"/>
  <c r="CG11" i="8"/>
  <c r="AC13" i="8"/>
  <c r="AD13" i="8" s="1"/>
  <c r="I24" i="8" s="1"/>
  <c r="I32" i="8" s="1"/>
  <c r="K32" i="8"/>
  <c r="BY15" i="8"/>
  <c r="BZ15" i="8" s="1"/>
  <c r="CI15" i="8" s="1"/>
  <c r="AX17" i="8"/>
  <c r="BD17" i="8"/>
  <c r="BE17" i="8" s="1"/>
  <c r="Q32" i="8"/>
  <c r="AA18" i="8"/>
  <c r="R23" i="8" s="1"/>
  <c r="A13" i="9"/>
  <c r="C32" i="7"/>
  <c r="C25" i="7"/>
  <c r="C33" i="7" s="1"/>
  <c r="BE8" i="7"/>
  <c r="H31" i="7"/>
  <c r="CJ12" i="7"/>
  <c r="CJ15" i="7"/>
  <c r="CG15" i="7"/>
  <c r="E31" i="7"/>
  <c r="F25" i="7"/>
  <c r="F33" i="7" s="1"/>
  <c r="CL15" i="7"/>
  <c r="U16" i="7"/>
  <c r="L22" i="7" s="1"/>
  <c r="AC16" i="7"/>
  <c r="AD16" i="7" s="1"/>
  <c r="L24" i="7" s="1"/>
  <c r="L31" i="7" s="1"/>
  <c r="CJ11" i="7"/>
  <c r="CL11" i="7" s="1"/>
  <c r="CG11" i="7"/>
  <c r="V23" i="7"/>
  <c r="A10" i="7"/>
  <c r="AF9" i="7"/>
  <c r="J25" i="7"/>
  <c r="J33" i="7" s="1"/>
  <c r="B22" i="7"/>
  <c r="CF18" i="7"/>
  <c r="G32" i="7"/>
  <c r="G25" i="7"/>
  <c r="G33" i="7" s="1"/>
  <c r="H32" i="7"/>
  <c r="C31" i="7"/>
  <c r="AC7" i="7"/>
  <c r="AD7" i="7" s="1"/>
  <c r="C24" i="7" s="1"/>
  <c r="CG14" i="7"/>
  <c r="BZ16" i="7"/>
  <c r="CI16" i="7" s="1"/>
  <c r="CL16" i="7" s="1"/>
  <c r="BY7" i="7"/>
  <c r="BZ7" i="7" s="1"/>
  <c r="CI7" i="7" s="1"/>
  <c r="CL7" i="7" s="1"/>
  <c r="AW8" i="7"/>
  <c r="AW19" i="7" s="1"/>
  <c r="CG10" i="7"/>
  <c r="AC12" i="7"/>
  <c r="AD12" i="7" s="1"/>
  <c r="H24" i="7" s="1"/>
  <c r="CG17" i="7"/>
  <c r="H25" i="7"/>
  <c r="H33" i="7" s="1"/>
  <c r="BN18" i="7"/>
  <c r="BN19" i="7" s="1"/>
  <c r="BV18" i="7"/>
  <c r="BV19" i="7" s="1"/>
  <c r="BY6" i="7"/>
  <c r="AA19" i="7"/>
  <c r="AJ19" i="7"/>
  <c r="AR19" i="7"/>
  <c r="E32" i="7"/>
  <c r="E25" i="7"/>
  <c r="E33" i="7" s="1"/>
  <c r="AC15" i="7"/>
  <c r="AD15" i="7" s="1"/>
  <c r="K24" i="7" s="1"/>
  <c r="K32" i="7" s="1"/>
  <c r="AB15" i="7"/>
  <c r="K23" i="7" s="1"/>
  <c r="K31" i="7" s="1"/>
  <c r="AC11" i="7"/>
  <c r="AD11" i="7" s="1"/>
  <c r="G24" i="7" s="1"/>
  <c r="AB11" i="7"/>
  <c r="G23" i="7" s="1"/>
  <c r="G31" i="7" s="1"/>
  <c r="AC14" i="7"/>
  <c r="AD14" i="7" s="1"/>
  <c r="J24" i="7" s="1"/>
  <c r="J31" i="7" s="1"/>
  <c r="N29" i="7"/>
  <c r="O19" i="7"/>
  <c r="AX7" i="7"/>
  <c r="BG9" i="7"/>
  <c r="AW12" i="7"/>
  <c r="CF13" i="7"/>
  <c r="BD14" i="7"/>
  <c r="BE14" i="7" s="1"/>
  <c r="AX17" i="7"/>
  <c r="BE17" i="7" s="1"/>
  <c r="AA18" i="7"/>
  <c r="R23" i="7" s="1"/>
  <c r="AC6" i="7"/>
  <c r="AC8" i="7"/>
  <c r="AD8" i="7" s="1"/>
  <c r="D24" i="7" s="1"/>
  <c r="D32" i="7" s="1"/>
  <c r="AB8" i="7"/>
  <c r="D23" i="7" s="1"/>
  <c r="D31" i="7" s="1"/>
  <c r="AW30" i="7"/>
  <c r="AX31" i="7" s="1"/>
  <c r="AY31" i="7" s="1"/>
  <c r="AB6" i="7"/>
  <c r="AB13" i="7"/>
  <c r="I23" i="7" s="1"/>
  <c r="I31" i="7" s="1"/>
  <c r="AO19" i="7"/>
  <c r="AY19" i="7"/>
  <c r="BD6" i="7"/>
  <c r="BT18" i="7"/>
  <c r="BT19" i="7" s="1"/>
  <c r="BE7" i="7"/>
  <c r="CJ7" i="7"/>
  <c r="AX9" i="7"/>
  <c r="CG9" i="7"/>
  <c r="BE10" i="7"/>
  <c r="AX13" i="7"/>
  <c r="BE13" i="7" s="1"/>
  <c r="CG16" i="7"/>
  <c r="AA33" i="7"/>
  <c r="AC10" i="7"/>
  <c r="AD10" i="7" s="1"/>
  <c r="F24" i="7" s="1"/>
  <c r="F31" i="7" s="1"/>
  <c r="BZ12" i="7"/>
  <c r="CI12" i="7" s="1"/>
  <c r="CJ16" i="7"/>
  <c r="Q19" i="7"/>
  <c r="S19" i="7" s="1"/>
  <c r="S18" i="7"/>
  <c r="T18" i="7" s="1"/>
  <c r="R22" i="7" s="1"/>
  <c r="AX6" i="7"/>
  <c r="BL18" i="7"/>
  <c r="BL19" i="7" s="1"/>
  <c r="BM18" i="7"/>
  <c r="BM19" i="7" s="1"/>
  <c r="BU18" i="7"/>
  <c r="BU19" i="7" s="1"/>
  <c r="CD18" i="7"/>
  <c r="CD19" i="7" s="1"/>
  <c r="CF8" i="7"/>
  <c r="BD9" i="7"/>
  <c r="BE9" i="7" s="1"/>
  <c r="M32" i="7"/>
  <c r="M25" i="7"/>
  <c r="M33" i="7" s="1"/>
  <c r="CA18" i="7"/>
  <c r="CA19" i="7" s="1"/>
  <c r="AG19" i="7"/>
  <c r="H25" i="6"/>
  <c r="H33" i="6" s="1"/>
  <c r="CJ12" i="6"/>
  <c r="CG12" i="6"/>
  <c r="CG7" i="6"/>
  <c r="CJ7" i="6"/>
  <c r="F25" i="6"/>
  <c r="F33" i="6" s="1"/>
  <c r="BE12" i="6"/>
  <c r="CI13" i="6"/>
  <c r="CG13" i="6"/>
  <c r="BZ6" i="6"/>
  <c r="BY18" i="6"/>
  <c r="BY19" i="6" s="1"/>
  <c r="CG6" i="6"/>
  <c r="CF18" i="6"/>
  <c r="CJ6" i="6"/>
  <c r="J25" i="6"/>
  <c r="J33" i="6" s="1"/>
  <c r="J35" i="6"/>
  <c r="J32" i="6"/>
  <c r="C23" i="6"/>
  <c r="AB18" i="6"/>
  <c r="AB22" i="6" s="1"/>
  <c r="I31" i="6"/>
  <c r="AD26" i="6"/>
  <c r="M25" i="6"/>
  <c r="M33" i="6" s="1"/>
  <c r="L32" i="6"/>
  <c r="L25" i="6"/>
  <c r="L33" i="6" s="1"/>
  <c r="B22" i="6"/>
  <c r="CJ17" i="6"/>
  <c r="CG17" i="6"/>
  <c r="F31" i="6"/>
  <c r="CJ10" i="6"/>
  <c r="CG10" i="6"/>
  <c r="BE9" i="6"/>
  <c r="CJ11" i="6"/>
  <c r="CG11" i="6"/>
  <c r="BE13" i="6"/>
  <c r="BE14" i="6"/>
  <c r="AZ19" i="6"/>
  <c r="CG9" i="6"/>
  <c r="BZ14" i="6"/>
  <c r="CI14" i="6" s="1"/>
  <c r="AB15" i="6"/>
  <c r="K23" i="6" s="1"/>
  <c r="BE16" i="6"/>
  <c r="BA19" i="6"/>
  <c r="AA18" i="6"/>
  <c r="R23" i="6" s="1"/>
  <c r="AJ19" i="6"/>
  <c r="BT18" i="6"/>
  <c r="BT19" i="6" s="1"/>
  <c r="AX13" i="6"/>
  <c r="AC16" i="6"/>
  <c r="AD16" i="6" s="1"/>
  <c r="L24" i="6" s="1"/>
  <c r="L31" i="6" s="1"/>
  <c r="AC17" i="6"/>
  <c r="AD17" i="6" s="1"/>
  <c r="M24" i="6" s="1"/>
  <c r="M32" i="6" s="1"/>
  <c r="BV18" i="6"/>
  <c r="BV19" i="6" s="1"/>
  <c r="BM18" i="6"/>
  <c r="BM19" i="6" s="1"/>
  <c r="BU18" i="6"/>
  <c r="BU19" i="6" s="1"/>
  <c r="T9" i="6"/>
  <c r="U9" i="6" s="1"/>
  <c r="E22" i="6" s="1"/>
  <c r="AC10" i="6"/>
  <c r="AD10" i="6" s="1"/>
  <c r="F24" i="6" s="1"/>
  <c r="F32" i="6" s="1"/>
  <c r="AB17" i="6"/>
  <c r="M23" i="6" s="1"/>
  <c r="BW18" i="6"/>
  <c r="BW19" i="6" s="1"/>
  <c r="AC6" i="6"/>
  <c r="BD7" i="6"/>
  <c r="BE7" i="6" s="1"/>
  <c r="T11" i="6"/>
  <c r="AX15" i="6"/>
  <c r="CF15" i="6"/>
  <c r="AX16" i="6"/>
  <c r="CF16" i="6"/>
  <c r="BX18" i="6"/>
  <c r="BX19" i="6" s="1"/>
  <c r="CB18" i="6"/>
  <c r="CB19" i="6" s="1"/>
  <c r="BL18" i="6"/>
  <c r="BL19" i="6" s="1"/>
  <c r="BD6" i="6"/>
  <c r="C36" i="6"/>
  <c r="C37" i="6" s="1"/>
  <c r="C32" i="6"/>
  <c r="AC9" i="6"/>
  <c r="AD9" i="6" s="1"/>
  <c r="E24" i="6" s="1"/>
  <c r="U13" i="6"/>
  <c r="I22" i="6" s="1"/>
  <c r="BD15" i="6"/>
  <c r="BE15" i="6" s="1"/>
  <c r="O18" i="6"/>
  <c r="AR19" i="6"/>
  <c r="V21" i="6"/>
  <c r="A8" i="6"/>
  <c r="AF7" i="6"/>
  <c r="BD17" i="6"/>
  <c r="BE17" i="6" s="1"/>
  <c r="CA18" i="6"/>
  <c r="CA19" i="6" s="1"/>
  <c r="C25" i="6"/>
  <c r="C33" i="6" s="1"/>
  <c r="J31" i="6"/>
  <c r="CE18" i="6"/>
  <c r="CE19" i="6" s="1"/>
  <c r="CG14" i="6"/>
  <c r="CC18" i="6"/>
  <c r="CC19" i="6" s="1"/>
  <c r="AC12" i="6"/>
  <c r="AD12" i="6" s="1"/>
  <c r="H24" i="6" s="1"/>
  <c r="H32" i="6" s="1"/>
  <c r="AX8" i="6"/>
  <c r="BE8" i="6" s="1"/>
  <c r="O22" i="6"/>
  <c r="T8" i="6"/>
  <c r="U8" i="6" s="1"/>
  <c r="D22" i="6" s="1"/>
  <c r="AB9" i="6"/>
  <c r="E23" i="6" s="1"/>
  <c r="AG19" i="6"/>
  <c r="AO19" i="6"/>
  <c r="AX6" i="6"/>
  <c r="CF8" i="6"/>
  <c r="AW9" i="6"/>
  <c r="AW19" i="6" s="1"/>
  <c r="BD10" i="6"/>
  <c r="BE10" i="6" s="1"/>
  <c r="Q40" i="6"/>
  <c r="K32" i="6"/>
  <c r="Q19" i="6"/>
  <c r="S19" i="6" s="1"/>
  <c r="S18" i="6"/>
  <c r="Q32" i="6"/>
  <c r="AU19" i="6"/>
  <c r="AD12" i="8" l="1"/>
  <c r="AC34" i="8"/>
  <c r="AZ20" i="8"/>
  <c r="CG15" i="8"/>
  <c r="AB18" i="8"/>
  <c r="AB22" i="8" s="1"/>
  <c r="CG17" i="8"/>
  <c r="CJ17" i="8"/>
  <c r="AK20" i="8"/>
  <c r="CK11" i="8"/>
  <c r="CH11" i="8"/>
  <c r="AC26" i="8"/>
  <c r="AD26" i="8" s="1"/>
  <c r="AD16" i="8"/>
  <c r="L24" i="8" s="1"/>
  <c r="U6" i="8"/>
  <c r="AC6" i="8"/>
  <c r="CG16" i="8"/>
  <c r="CJ16" i="8"/>
  <c r="H25" i="8"/>
  <c r="H34" i="8" s="1"/>
  <c r="D33" i="8"/>
  <c r="D25" i="8"/>
  <c r="D34" i="8" s="1"/>
  <c r="AR20" i="8"/>
  <c r="CH14" i="8"/>
  <c r="CK14" i="8"/>
  <c r="BB20" i="8"/>
  <c r="C33" i="8"/>
  <c r="C25" i="8"/>
  <c r="C34" i="8" s="1"/>
  <c r="CG8" i="8"/>
  <c r="CJ8" i="8"/>
  <c r="A9" i="8"/>
  <c r="AF8" i="8"/>
  <c r="V22" i="8"/>
  <c r="BD19" i="8"/>
  <c r="BE19" i="8"/>
  <c r="BA20" i="8" s="1"/>
  <c r="CF18" i="8"/>
  <c r="CJ6" i="8"/>
  <c r="AI20" i="8"/>
  <c r="CH13" i="8"/>
  <c r="CK13" i="8"/>
  <c r="T18" i="8"/>
  <c r="R22" i="8" s="1"/>
  <c r="O19" i="8"/>
  <c r="T19" i="8" s="1"/>
  <c r="AC19" i="8" s="1"/>
  <c r="AQ20" i="8"/>
  <c r="CG7" i="8"/>
  <c r="CJ7" i="8"/>
  <c r="CK12" i="8"/>
  <c r="CH12" i="8"/>
  <c r="AX19" i="8"/>
  <c r="N23" i="8"/>
  <c r="AW19" i="8"/>
  <c r="BZ6" i="8"/>
  <c r="CG6" i="8" s="1"/>
  <c r="BY18" i="8"/>
  <c r="BY19" i="8" s="1"/>
  <c r="CK10" i="8"/>
  <c r="CH10" i="8"/>
  <c r="J25" i="8"/>
  <c r="J34" i="8" s="1"/>
  <c r="J33" i="8"/>
  <c r="A14" i="9"/>
  <c r="R24" i="7"/>
  <c r="R26" i="7" s="1"/>
  <c r="S22" i="7"/>
  <c r="Z34" i="7"/>
  <c r="V34" i="7"/>
  <c r="CF19" i="7"/>
  <c r="CH16" i="7"/>
  <c r="CK16" i="7"/>
  <c r="AX30" i="7"/>
  <c r="AY30" i="7" s="1"/>
  <c r="CG13" i="7"/>
  <c r="CJ13" i="7"/>
  <c r="CL13" i="7" s="1"/>
  <c r="V24" i="7"/>
  <c r="A11" i="7"/>
  <c r="AF10" i="7"/>
  <c r="CG7" i="7"/>
  <c r="X34" i="7"/>
  <c r="CK14" i="7"/>
  <c r="CH14" i="7"/>
  <c r="CL12" i="7"/>
  <c r="CK9" i="7"/>
  <c r="CH9" i="7"/>
  <c r="AD6" i="7"/>
  <c r="AC18" i="7"/>
  <c r="AD18" i="7" s="1"/>
  <c r="AD25" i="7" s="1"/>
  <c r="AD27" i="7"/>
  <c r="AE27" i="7" s="1"/>
  <c r="AG20" i="7"/>
  <c r="S23" i="7"/>
  <c r="T19" i="7"/>
  <c r="AD26" i="7" s="1"/>
  <c r="AE26" i="7" s="1"/>
  <c r="K25" i="7"/>
  <c r="K33" i="7" s="1"/>
  <c r="CK17" i="7"/>
  <c r="CH17" i="7"/>
  <c r="U18" i="7"/>
  <c r="CK11" i="7"/>
  <c r="CH11" i="7"/>
  <c r="F32" i="7"/>
  <c r="W34" i="7"/>
  <c r="I25" i="7"/>
  <c r="I33" i="7" s="1"/>
  <c r="D25" i="7"/>
  <c r="D33" i="7" s="1"/>
  <c r="CK10" i="7"/>
  <c r="CH10" i="7"/>
  <c r="AR20" i="7"/>
  <c r="AB18" i="7"/>
  <c r="B23" i="7"/>
  <c r="BY18" i="7"/>
  <c r="BY19" i="7" s="1"/>
  <c r="BZ6" i="7"/>
  <c r="J32" i="7"/>
  <c r="AX19" i="7"/>
  <c r="AJ20" i="7" s="1"/>
  <c r="CK15" i="7"/>
  <c r="CH15" i="7"/>
  <c r="AO20" i="7"/>
  <c r="BE6" i="7"/>
  <c r="BE19" i="7" s="1"/>
  <c r="BD19" i="7"/>
  <c r="L25" i="7"/>
  <c r="L33" i="7" s="1"/>
  <c r="L32" i="7"/>
  <c r="CJ8" i="7"/>
  <c r="CG8" i="7"/>
  <c r="B25" i="7"/>
  <c r="B33" i="7" s="1"/>
  <c r="N22" i="7"/>
  <c r="CG12" i="7"/>
  <c r="AU20" i="6"/>
  <c r="T18" i="6"/>
  <c r="R22" i="6" s="1"/>
  <c r="O19" i="6"/>
  <c r="T19" i="6" s="1"/>
  <c r="CJ8" i="6"/>
  <c r="CG8" i="6"/>
  <c r="C31" i="6"/>
  <c r="N23" i="6"/>
  <c r="AX19" i="6"/>
  <c r="CH14" i="6"/>
  <c r="CK14" i="6"/>
  <c r="CJ16" i="6"/>
  <c r="CG16" i="6"/>
  <c r="E31" i="6"/>
  <c r="CG15" i="6"/>
  <c r="CJ15" i="6"/>
  <c r="CJ18" i="6" s="1"/>
  <c r="E32" i="6"/>
  <c r="E25" i="6"/>
  <c r="E33" i="6" s="1"/>
  <c r="U18" i="6"/>
  <c r="BZ18" i="6"/>
  <c r="BZ19" i="6" s="1"/>
  <c r="CI6" i="6"/>
  <c r="CI18" i="6" s="1"/>
  <c r="D32" i="6"/>
  <c r="D25" i="6"/>
  <c r="D33" i="6" s="1"/>
  <c r="AR20" i="6"/>
  <c r="BE6" i="6"/>
  <c r="BE19" i="6" s="1"/>
  <c r="BD19" i="6"/>
  <c r="AC8" i="6"/>
  <c r="AD8" i="6" s="1"/>
  <c r="D24" i="6" s="1"/>
  <c r="D31" i="6" s="1"/>
  <c r="AJ20" i="6"/>
  <c r="CH10" i="6"/>
  <c r="CK10" i="6"/>
  <c r="B25" i="6"/>
  <c r="B33" i="6" s="1"/>
  <c r="N22" i="6"/>
  <c r="CK7" i="6"/>
  <c r="CH7" i="6"/>
  <c r="CF19" i="6"/>
  <c r="CG18" i="6"/>
  <c r="K31" i="6"/>
  <c r="K25" i="6"/>
  <c r="K33" i="6" s="1"/>
  <c r="CK11" i="6"/>
  <c r="CH11" i="6"/>
  <c r="CK17" i="6"/>
  <c r="CH17" i="6"/>
  <c r="H31" i="6"/>
  <c r="U11" i="6"/>
  <c r="G22" i="6" s="1"/>
  <c r="AC11" i="6"/>
  <c r="AD11" i="6" s="1"/>
  <c r="G24" i="6" s="1"/>
  <c r="G31" i="6" s="1"/>
  <c r="CH13" i="6"/>
  <c r="CK13" i="6"/>
  <c r="CH12" i="6"/>
  <c r="CK12" i="6"/>
  <c r="AD6" i="6"/>
  <c r="CH6" i="6"/>
  <c r="CK6" i="6"/>
  <c r="I25" i="6"/>
  <c r="I33" i="6" s="1"/>
  <c r="I32" i="6"/>
  <c r="AO20" i="6"/>
  <c r="M31" i="6"/>
  <c r="AG20" i="6"/>
  <c r="V22" i="6"/>
  <c r="AF8" i="6"/>
  <c r="A9" i="6"/>
  <c r="CH9" i="6"/>
  <c r="CK9" i="6"/>
  <c r="CH6" i="8" l="1"/>
  <c r="CK6" i="8"/>
  <c r="CH15" i="8"/>
  <c r="CK15" i="8"/>
  <c r="CJ18" i="8"/>
  <c r="AD6" i="8"/>
  <c r="AC18" i="8"/>
  <c r="AD18" i="8" s="1"/>
  <c r="CF19" i="8"/>
  <c r="B22" i="8"/>
  <c r="U18" i="8"/>
  <c r="AD34" i="8"/>
  <c r="H24" i="8"/>
  <c r="CK8" i="8"/>
  <c r="CH8" i="8"/>
  <c r="L33" i="8"/>
  <c r="L32" i="8"/>
  <c r="AY20" i="8"/>
  <c r="AN20" i="8"/>
  <c r="AV20" i="8"/>
  <c r="AH20" i="8"/>
  <c r="AG20" i="8"/>
  <c r="AO20" i="8"/>
  <c r="AP20" i="8"/>
  <c r="CH17" i="8"/>
  <c r="CK17" i="8"/>
  <c r="BC20" i="8"/>
  <c r="R24" i="8"/>
  <c r="AJ20" i="8"/>
  <c r="AL20" i="8"/>
  <c r="AT20" i="8"/>
  <c r="AM20" i="8"/>
  <c r="AU20" i="8"/>
  <c r="CK16" i="8"/>
  <c r="CH16" i="8"/>
  <c r="CI6" i="8"/>
  <c r="CI18" i="8" s="1"/>
  <c r="BZ18" i="8"/>
  <c r="BZ19" i="8" s="1"/>
  <c r="V23" i="8"/>
  <c r="A10" i="8"/>
  <c r="AF9" i="8"/>
  <c r="CH7" i="8"/>
  <c r="CK7" i="8"/>
  <c r="A15" i="9"/>
  <c r="BA20" i="7"/>
  <c r="BB20" i="7"/>
  <c r="AZ20" i="7"/>
  <c r="BC20" i="7"/>
  <c r="V25" i="7"/>
  <c r="A12" i="7"/>
  <c r="AF11" i="7"/>
  <c r="CL8" i="7"/>
  <c r="CJ18" i="7"/>
  <c r="CK7" i="7"/>
  <c r="CH7" i="7"/>
  <c r="CH12" i="7"/>
  <c r="CK12" i="7"/>
  <c r="BZ18" i="7"/>
  <c r="CI6" i="7"/>
  <c r="CG6" i="7"/>
  <c r="AD19" i="7"/>
  <c r="B24" i="7"/>
  <c r="N23" i="7"/>
  <c r="B31" i="7"/>
  <c r="CH8" i="7"/>
  <c r="CK8" i="7"/>
  <c r="CK13" i="7"/>
  <c r="CH13" i="7"/>
  <c r="AY20" i="7"/>
  <c r="AM20" i="7"/>
  <c r="AH20" i="7"/>
  <c r="BE20" i="7" s="1"/>
  <c r="AK20" i="7"/>
  <c r="AN20" i="7"/>
  <c r="AV20" i="7"/>
  <c r="AI20" i="7"/>
  <c r="AQ20" i="7"/>
  <c r="AL20" i="7"/>
  <c r="AT20" i="7"/>
  <c r="AP20" i="7"/>
  <c r="AU20" i="7"/>
  <c r="AC19" i="7"/>
  <c r="AD25" i="6"/>
  <c r="AE25" i="6" s="1"/>
  <c r="AC19" i="6"/>
  <c r="V23" i="6"/>
  <c r="AF9" i="6"/>
  <c r="A10" i="6"/>
  <c r="BB20" i="6"/>
  <c r="BC20" i="6"/>
  <c r="AY20" i="6"/>
  <c r="R24" i="6"/>
  <c r="S22" i="6"/>
  <c r="G32" i="6"/>
  <c r="G25" i="6"/>
  <c r="G33" i="6" s="1"/>
  <c r="AD19" i="6"/>
  <c r="AD24" i="6" s="1"/>
  <c r="AE26" i="6" s="1"/>
  <c r="B24" i="6"/>
  <c r="CG19" i="6"/>
  <c r="BA20" i="6"/>
  <c r="CK15" i="6"/>
  <c r="CH15" i="6"/>
  <c r="CK18" i="6"/>
  <c r="CK8" i="6"/>
  <c r="CH8" i="6"/>
  <c r="CH18" i="6" s="1"/>
  <c r="CH19" i="6" s="1"/>
  <c r="CK16" i="6"/>
  <c r="CH16" i="6"/>
  <c r="O38" i="6"/>
  <c r="N25" i="6"/>
  <c r="N33" i="6" s="1"/>
  <c r="AZ20" i="6"/>
  <c r="AC18" i="6"/>
  <c r="AD18" i="6" s="1"/>
  <c r="AK20" i="6"/>
  <c r="AH20" i="6"/>
  <c r="BE20" i="6" s="1"/>
  <c r="AQ20" i="6"/>
  <c r="AL20" i="6"/>
  <c r="AM20" i="6"/>
  <c r="AN20" i="6"/>
  <c r="AP20" i="6"/>
  <c r="AT20" i="6"/>
  <c r="AI20" i="6"/>
  <c r="AV20" i="6"/>
  <c r="BE20" i="8" l="1"/>
  <c r="AD19" i="8"/>
  <c r="B24" i="8"/>
  <c r="R26" i="8"/>
  <c r="U26" i="8" s="1"/>
  <c r="S23" i="8"/>
  <c r="H33" i="8"/>
  <c r="H32" i="8"/>
  <c r="S22" i="8"/>
  <c r="B25" i="8"/>
  <c r="B34" i="8" s="1"/>
  <c r="N22" i="8"/>
  <c r="N25" i="8" s="1"/>
  <c r="N34" i="8" s="1"/>
  <c r="B33" i="8"/>
  <c r="CK18" i="8"/>
  <c r="CG18" i="8"/>
  <c r="CH18" i="8"/>
  <c r="CH19" i="8" s="1"/>
  <c r="A11" i="8"/>
  <c r="AF10" i="8"/>
  <c r="V24" i="8"/>
  <c r="CG19" i="8"/>
  <c r="A16" i="9"/>
  <c r="V26" i="7"/>
  <c r="A13" i="7"/>
  <c r="AF12" i="7"/>
  <c r="N24" i="7"/>
  <c r="O22" i="7" s="1"/>
  <c r="B32" i="7"/>
  <c r="CK6" i="7"/>
  <c r="CK18" i="7" s="1"/>
  <c r="CH6" i="7"/>
  <c r="CH18" i="7" s="1"/>
  <c r="CH19" i="7" s="1"/>
  <c r="CL6" i="7"/>
  <c r="CI18" i="7"/>
  <c r="BZ19" i="7"/>
  <c r="CG19" i="7" s="1"/>
  <c r="CG18" i="7"/>
  <c r="N25" i="7"/>
  <c r="N24" i="6"/>
  <c r="B31" i="6"/>
  <c r="B36" i="6"/>
  <c r="B32" i="6"/>
  <c r="A11" i="6"/>
  <c r="AF10" i="6"/>
  <c r="V24" i="6"/>
  <c r="R26" i="6"/>
  <c r="S23" i="6"/>
  <c r="N24" i="8" l="1"/>
  <c r="B32" i="8"/>
  <c r="A12" i="8"/>
  <c r="AF11" i="8"/>
  <c r="V25" i="8"/>
  <c r="A17" i="9"/>
  <c r="O25" i="7"/>
  <c r="O27" i="7" s="1"/>
  <c r="O28" i="7" s="1"/>
  <c r="N33" i="7"/>
  <c r="O29" i="7"/>
  <c r="O30" i="7" s="1"/>
  <c r="O23" i="7"/>
  <c r="A14" i="7"/>
  <c r="AF13" i="7"/>
  <c r="V27" i="7"/>
  <c r="B37" i="6"/>
  <c r="D37" i="6" s="1"/>
  <c r="D36" i="6"/>
  <c r="V25" i="6"/>
  <c r="A12" i="6"/>
  <c r="AF11" i="6"/>
  <c r="AB34" i="8" l="1"/>
  <c r="V26" i="8"/>
  <c r="AF12" i="8"/>
  <c r="A13" i="8"/>
  <c r="A18" i="9"/>
  <c r="A15" i="7"/>
  <c r="AF14" i="7"/>
  <c r="V28" i="7"/>
  <c r="V26" i="6"/>
  <c r="A13" i="6"/>
  <c r="AF12" i="6"/>
  <c r="V27" i="8" l="1"/>
  <c r="A14" i="8"/>
  <c r="AF13" i="8"/>
  <c r="A19" i="9"/>
  <c r="V29" i="7"/>
  <c r="A16" i="7"/>
  <c r="AF15" i="7"/>
  <c r="V27" i="6"/>
  <c r="AF13" i="6"/>
  <c r="A14" i="6"/>
  <c r="V28" i="8" l="1"/>
  <c r="AF14" i="8"/>
  <c r="A15" i="8"/>
  <c r="V30" i="7"/>
  <c r="A17" i="7"/>
  <c r="AF16" i="7"/>
  <c r="V28" i="6"/>
  <c r="A15" i="6"/>
  <c r="AF14" i="6"/>
  <c r="V29" i="8" l="1"/>
  <c r="A16" i="8"/>
  <c r="AF15" i="8"/>
  <c r="V31" i="7"/>
  <c r="AF17" i="7"/>
  <c r="A16" i="6"/>
  <c r="AF15" i="6"/>
  <c r="V29" i="6"/>
  <c r="V30" i="8" l="1"/>
  <c r="A17" i="8"/>
  <c r="AF16" i="8"/>
  <c r="V30" i="6"/>
  <c r="A17" i="6"/>
  <c r="AF16" i="6"/>
  <c r="AF17" i="8" l="1"/>
  <c r="V31" i="8"/>
  <c r="V31" i="6"/>
  <c r="AF17" i="6"/>
  <c r="O15" i="5" l="1"/>
  <c r="O10" i="5"/>
  <c r="O9" i="5"/>
  <c r="N16" i="5"/>
  <c r="M16" i="5"/>
  <c r="L16" i="5"/>
  <c r="K16" i="5"/>
  <c r="J16" i="5"/>
  <c r="I16" i="5"/>
  <c r="H16" i="5"/>
  <c r="G16" i="5"/>
  <c r="F16" i="5"/>
  <c r="E16" i="5"/>
  <c r="D16" i="5"/>
  <c r="C16" i="5"/>
  <c r="N11" i="5"/>
  <c r="M11" i="5"/>
  <c r="L11" i="5"/>
  <c r="K11" i="5"/>
  <c r="J11" i="5"/>
  <c r="I11" i="5"/>
  <c r="H11" i="5"/>
  <c r="G11" i="5"/>
  <c r="F11" i="5"/>
  <c r="E11" i="5"/>
  <c r="D11" i="5"/>
  <c r="C11" i="5"/>
  <c r="O4" i="5"/>
  <c r="R4" i="5" s="1"/>
  <c r="D6" i="3" s="1"/>
  <c r="O5" i="5"/>
  <c r="N6" i="5"/>
  <c r="M6" i="5"/>
  <c r="L6" i="5"/>
  <c r="K6" i="5"/>
  <c r="J6" i="5"/>
  <c r="I6" i="5"/>
  <c r="H6" i="5"/>
  <c r="G6" i="5"/>
  <c r="F6" i="5"/>
  <c r="E6" i="5"/>
  <c r="D6" i="5"/>
  <c r="O6" i="5" l="1"/>
  <c r="Q5" i="5" s="1"/>
  <c r="O11" i="5"/>
  <c r="Q10" i="5" s="1"/>
  <c r="O16" i="5"/>
  <c r="Q9" i="5"/>
  <c r="R9" i="5"/>
  <c r="D5" i="3" s="1"/>
  <c r="R14" i="5"/>
  <c r="D4" i="3" s="1"/>
  <c r="U283" i="4"/>
  <c r="U282" i="4"/>
  <c r="U279" i="4"/>
  <c r="W278" i="4"/>
  <c r="W277" i="4"/>
  <c r="W276" i="4"/>
  <c r="U278" i="4" s="1"/>
  <c r="W273" i="4"/>
  <c r="W272" i="4"/>
  <c r="Q4" i="5" l="1"/>
  <c r="P11" i="5"/>
  <c r="P16" i="5"/>
  <c r="Q14" i="5"/>
  <c r="Q15" i="5"/>
  <c r="L569" i="4"/>
  <c r="L567" i="4"/>
  <c r="L568" i="4"/>
  <c r="R531" i="4"/>
  <c r="R541" i="4"/>
  <c r="R517" i="4"/>
  <c r="T531" i="4" s="1"/>
  <c r="B569" i="4"/>
  <c r="E568" i="4"/>
  <c r="K568" i="4"/>
  <c r="I567" i="4"/>
  <c r="M568" i="4"/>
  <c r="N569" i="4"/>
  <c r="G567" i="4"/>
  <c r="K569" i="4"/>
  <c r="F567" i="4"/>
  <c r="N567" i="4"/>
  <c r="C569" i="4"/>
  <c r="J567" i="4"/>
  <c r="I568" i="4"/>
  <c r="H568" i="4"/>
  <c r="J569" i="4"/>
  <c r="O567" i="4"/>
  <c r="C568" i="4"/>
  <c r="B568" i="4"/>
  <c r="D568" i="4"/>
  <c r="H567" i="4"/>
  <c r="J568" i="4"/>
  <c r="M569" i="4"/>
  <c r="B567" i="4"/>
  <c r="K567" i="4"/>
  <c r="O569" i="4"/>
  <c r="D567" i="4"/>
  <c r="F568" i="4"/>
  <c r="N568" i="4"/>
  <c r="H569" i="4"/>
  <c r="D569" i="4"/>
  <c r="F569" i="4"/>
  <c r="G569" i="4"/>
  <c r="E567" i="4"/>
  <c r="M567" i="4"/>
  <c r="G568" i="4"/>
  <c r="O568" i="4"/>
  <c r="I569" i="4"/>
  <c r="E569" i="4"/>
  <c r="C567" i="4"/>
  <c r="E4" i="3" l="1"/>
  <c r="T541" i="4"/>
  <c r="G5" i="3"/>
  <c r="G4" i="3"/>
  <c r="F6" i="3" l="1"/>
  <c r="G6" i="3" s="1"/>
  <c r="L6" i="3"/>
  <c r="L5" i="3" l="1"/>
  <c r="L4" i="3" s="1"/>
  <c r="N6" i="3"/>
  <c r="P6" i="3" s="1"/>
  <c r="R6" i="3" s="1"/>
  <c r="M5" i="3"/>
  <c r="M4" i="3" s="1"/>
  <c r="N4" i="3" l="1"/>
  <c r="P4" i="3" s="1"/>
  <c r="R4" i="3" s="1"/>
  <c r="N5" i="3" l="1"/>
  <c r="P5" i="3" s="1"/>
  <c r="R5" i="3" s="1"/>
</calcChain>
</file>

<file path=xl/sharedStrings.xml><?xml version="1.0" encoding="utf-8"?>
<sst xmlns="http://schemas.openxmlformats.org/spreadsheetml/2006/main" count="667" uniqueCount="176">
  <si>
    <t>Water Year</t>
  </si>
  <si>
    <t>14-15</t>
  </si>
  <si>
    <t>13-14</t>
  </si>
  <si>
    <t>12-13</t>
  </si>
  <si>
    <t>Total</t>
  </si>
  <si>
    <t>FMWD</t>
  </si>
  <si>
    <t>Well No.1 5058B</t>
  </si>
  <si>
    <t>Well No. 2 5036A</t>
  </si>
  <si>
    <t>Well No. 5 5058H</t>
  </si>
  <si>
    <t>Well No. 6 5058</t>
  </si>
  <si>
    <t>Well No. 7 5047B</t>
  </si>
  <si>
    <t>Well No. 8 5069J</t>
  </si>
  <si>
    <t>Well No. 9 5047D</t>
  </si>
  <si>
    <t>Well No.10 5058D</t>
  </si>
  <si>
    <t>Well No. 11 5058E</t>
  </si>
  <si>
    <t>Well No. 12 5058J</t>
  </si>
  <si>
    <t>Well No. 14 5069F</t>
  </si>
  <si>
    <t>Well No. 15</t>
  </si>
  <si>
    <t>Well No. 16</t>
  </si>
  <si>
    <t>Well No. 17</t>
  </si>
  <si>
    <t>1350-1204</t>
  </si>
  <si>
    <t>Well 14 casing up 10'</t>
  </si>
  <si>
    <t>Avg</t>
  </si>
  <si>
    <t>Min</t>
  </si>
  <si>
    <t>Max</t>
  </si>
  <si>
    <t>Water Year 2013</t>
  </si>
  <si>
    <t>Water  Year 2014</t>
  </si>
  <si>
    <t>Water Year 2015</t>
  </si>
  <si>
    <t>Rainfall</t>
  </si>
  <si>
    <t>% reduction</t>
  </si>
  <si>
    <t>GW</t>
  </si>
  <si>
    <t xml:space="preserve">FMWD </t>
  </si>
  <si>
    <t>Well Production 2014</t>
  </si>
  <si>
    <t>Well Production - Ac/ft</t>
  </si>
  <si>
    <t>FMWD Production</t>
  </si>
  <si>
    <t xml:space="preserve">Monthly </t>
  </si>
  <si>
    <t>Average</t>
  </si>
  <si>
    <t>Tunnel</t>
  </si>
  <si>
    <t>(gals)</t>
  </si>
  <si>
    <t>(Ac-Ft)</t>
  </si>
  <si>
    <t>Monthly Total</t>
  </si>
  <si>
    <t>Wells</t>
  </si>
  <si>
    <t xml:space="preserve">Daily </t>
  </si>
  <si>
    <t>Daily</t>
  </si>
  <si>
    <t>Daily Prod.</t>
  </si>
  <si>
    <t>Well 1</t>
  </si>
  <si>
    <t>Well 2</t>
  </si>
  <si>
    <t>Well 4</t>
  </si>
  <si>
    <t>Well 5</t>
  </si>
  <si>
    <t>Well 6</t>
  </si>
  <si>
    <t>Well 7</t>
  </si>
  <si>
    <t>Well 8</t>
  </si>
  <si>
    <t>Well 9</t>
  </si>
  <si>
    <t>Well 10</t>
  </si>
  <si>
    <t>Well 11</t>
  </si>
  <si>
    <t>Well 12</t>
  </si>
  <si>
    <t>Well 14</t>
  </si>
  <si>
    <t>Well 15</t>
  </si>
  <si>
    <t>Total Well</t>
  </si>
  <si>
    <t>Knowltons</t>
  </si>
  <si>
    <t>Paschall</t>
  </si>
  <si>
    <t>Briggs</t>
  </si>
  <si>
    <t>Ocean-</t>
  </si>
  <si>
    <t>Glendale</t>
  </si>
  <si>
    <t>Production</t>
  </si>
  <si>
    <t>Well</t>
  </si>
  <si>
    <t>Water</t>
  </si>
  <si>
    <t>Prod</t>
  </si>
  <si>
    <t>Prod/Mo</t>
  </si>
  <si>
    <t>Monthly</t>
  </si>
  <si>
    <t>Dunsmore</t>
  </si>
  <si>
    <t>Pickens</t>
  </si>
  <si>
    <t>A</t>
  </si>
  <si>
    <t>B</t>
  </si>
  <si>
    <t>View</t>
  </si>
  <si>
    <t>Intertie</t>
  </si>
  <si>
    <t>(Ac-ft)</t>
  </si>
  <si>
    <t>(MGD)</t>
  </si>
  <si>
    <t>CFS</t>
  </si>
  <si>
    <t>Total Yr (gals.)</t>
  </si>
  <si>
    <t>Avg MGD/yr</t>
  </si>
  <si>
    <t>Total Yr (Ac-Ft)</t>
  </si>
  <si>
    <t>Avg Ac-Ft/D/yr</t>
  </si>
  <si>
    <t>Percentage</t>
  </si>
  <si>
    <t>Projected</t>
  </si>
  <si>
    <t>%&gt;or&lt; projected</t>
  </si>
  <si>
    <t>Well Production 2013</t>
  </si>
  <si>
    <t>percentage</t>
  </si>
  <si>
    <t>dif</t>
  </si>
  <si>
    <t>%</t>
  </si>
  <si>
    <t>Well Production 2015</t>
  </si>
  <si>
    <t>Gallons</t>
  </si>
  <si>
    <t>Ac-ft</t>
  </si>
  <si>
    <t>Estimated 2013/2014 Water Production</t>
  </si>
  <si>
    <t>Estimated Total Yr (Ac-Ft)</t>
  </si>
  <si>
    <t>Estimated Total Yr (gals.)</t>
  </si>
  <si>
    <t>Actual Total Yr (gals.)</t>
  </si>
  <si>
    <t>Actual Total Yr (Ac-Ft)</t>
  </si>
  <si>
    <t>Loss of Water (gals.)</t>
  </si>
  <si>
    <t>Loss of Water (Ac-Ft)</t>
  </si>
  <si>
    <t>Total Loss of Water</t>
  </si>
  <si>
    <t>11-12</t>
  </si>
  <si>
    <t>Conservation Standard = 0</t>
  </si>
  <si>
    <t>10/1/12 thru 9/30/13</t>
  </si>
  <si>
    <t>Oct-Sep</t>
  </si>
  <si>
    <t>Los Angeles Civic Center</t>
  </si>
  <si>
    <t>270'</t>
  </si>
  <si>
    <t>Precip</t>
  </si>
  <si>
    <t>(LCC)</t>
  </si>
  <si>
    <t>%-avg</t>
  </si>
  <si>
    <t>10/1/13 thru 9/30/14</t>
  </si>
  <si>
    <t>10/1/14 thru 9/30/15</t>
  </si>
  <si>
    <t>Elevation</t>
  </si>
  <si>
    <t>Percent
reduction in
water production
based on
reduced water demands</t>
  </si>
  <si>
    <t>Percentage of
total water production
between
Groundwater &amp;
Imported Water</t>
  </si>
  <si>
    <t>Percent reduction in Groundwater pumped from previous year</t>
  </si>
  <si>
    <t>WY 13-14</t>
  </si>
  <si>
    <t>WY 12-13</t>
  </si>
  <si>
    <t>Percent reduction in Groundwater Pumping based on ratio of GW to FMWD water production</t>
  </si>
  <si>
    <t>Estimated amount reduction in Groundwater Pumping based on ratio of GW to FWMD
(in AF)</t>
  </si>
  <si>
    <t>Notes:</t>
  </si>
  <si>
    <t>Available Groundwater as adjusted (AF)</t>
  </si>
  <si>
    <t>Static Water Level for Well 14
(above MSL)</t>
  </si>
  <si>
    <t>1.    Worksheet "Water Usage by Water Year" shows Estimated Adjustment Calculations for WY 14-15</t>
  </si>
  <si>
    <t>16-17</t>
  </si>
  <si>
    <t>17-18</t>
  </si>
  <si>
    <t>18-19</t>
  </si>
  <si>
    <t>FMWD Imported Water
(AF)</t>
  </si>
  <si>
    <r>
      <t>Average Demand</t>
    </r>
    <r>
      <rPr>
        <b/>
        <vertAlign val="superscript"/>
        <sz val="10"/>
        <rFont val="Arial"/>
        <family val="2"/>
      </rPr>
      <t xml:space="preserve"> (3)
</t>
    </r>
    <r>
      <rPr>
        <b/>
        <sz val="10"/>
        <rFont val="Arial"/>
        <family val="2"/>
      </rPr>
      <t>(AF)</t>
    </r>
  </si>
  <si>
    <t>Estimated CVWD Groundwater available (AF)</t>
  </si>
  <si>
    <t>Estimated Groundwater Available
from Well 16
(AF)</t>
  </si>
  <si>
    <t>Total Estimated Groundwater Available
(AF)</t>
  </si>
  <si>
    <t>Total Estimated Available Water Supply
(AF)</t>
  </si>
  <si>
    <t>Difference between Total Estimated Available and Average Demand
(AF)</t>
  </si>
  <si>
    <t>Actual
CVWD Groundwater Produced
(AF)</t>
  </si>
  <si>
    <t>% Reduction in groundwater produced
(from previous year)</t>
  </si>
  <si>
    <t>Adjusted % reduction in groundwater produced</t>
  </si>
  <si>
    <t>Precipitation
(Inches)</t>
  </si>
  <si>
    <t>2.    Worksheet "Loss Production for 2013-2014" shows decrease in groundwater production during well rehabilitation</t>
  </si>
  <si>
    <r>
      <t xml:space="preserve">Estimated Adjustment </t>
    </r>
    <r>
      <rPr>
        <b/>
        <vertAlign val="superscript"/>
        <sz val="10"/>
        <rFont val="Arial"/>
        <family val="2"/>
      </rPr>
      <t>(1)(2)</t>
    </r>
    <r>
      <rPr>
        <b/>
        <sz val="10"/>
        <rFont val="Arial"/>
        <family val="2"/>
      </rPr>
      <t xml:space="preserve">
(AF)</t>
    </r>
  </si>
  <si>
    <t>Estimated numbers were derived from the 2015 water production data in an effort to calculate worse case scenarios.  2015 was the lowest year for groundwater production year since 1986.</t>
  </si>
  <si>
    <t>2013/2014 Water Years Actual Water Production versus Estimated Production</t>
  </si>
  <si>
    <t>Estimates on Loss of Groundwater production due to Well Rehabilitation Capital Improvement Projects</t>
  </si>
  <si>
    <t>Actual Production 2013/2014 Water Year</t>
  </si>
  <si>
    <t>3.    Average Demand based on 2013 and 2014 calendar year water producation as per SWRCB requirements)</t>
  </si>
  <si>
    <t xml:space="preserve">Crescenta Valley Water District (District) is a County Water District established on December 14, 1950 and supplies potable water service and sewage collection service to approximately 32,000 residents in the unincorporated areas of La Crescenta and Montrose as well as portions of Glendale and La Cañada-Flintridge.  The local community is primarily residential with some light commercial businesses along Foothill Blvd. and in the Montrose area.  </t>
  </si>
  <si>
    <t>Water System:</t>
  </si>
  <si>
    <t xml:space="preserve">The District’s system consists of 12 active groundwater wells, 1 tunnel (Pickens), 17 reservoirs, 14 pump stations with 34 booster pumps, 11 pressure zones, in addition to 3 connections with Foothill Municipal Water District (FMWD).  FMWD is a member agency of Metropolitan Water District of Southern California (MWD) and the District is a sub-agency to FMWD.  On average, about 60% of the District’s source water comes from local groundwater supplies in the Verdugo Basin.  The remaining 40% of the water supply comes from imported surface water supplied by FMWD.  </t>
  </si>
  <si>
    <t>Operational Blending of Groundwater and Imported Water:</t>
  </si>
  <si>
    <t>The District purchases water from FMWD not only to supplement its own local supplies, but also for blending purposes due to water quality issues.  All of the District’s groundwater wells contain nitrate levels which are either close to or exceed the nitrate MCL of 10 mg/L as N.</t>
  </si>
  <si>
    <t>All of the wells have also had detectable levels of PCE with Wells 14 and 16 having PCE levels over 2 ug/L.  All results were below the PCE MCL of 5 ug/L with the exception of Well 14 which exceeded the MCL in two sampling events over the last ten years</t>
  </si>
  <si>
    <t>Seven of the District’s wells (Wells 6, 8, 10, 12, 14, 15, and 16) are treated at the District’s Glenwood Treatment Plant and/or blended with imported FMWD water.  Three of the District’s wells (Wells 1, 7, and 9) are delivered to the Mills Treatment Plant and pumped to the Paschall blending station for blending with the imported water from FMWD.  Well 5 is the only well which may be diverted to either the Mills system or the Glenwood Treatment Plant effluent pipeline.  The Well 11 pump line along with the Well 5 pump line is connected to the Glenwood Treatment Plant effluent prior to blending with the imported FMWD water at the Ramsdell and Mayfield Nitrate Blending Station.</t>
  </si>
  <si>
    <t>Groundwater Basin:</t>
  </si>
  <si>
    <t>All of the District’s wells are located in the Verdugo sub-basin of the San Fernando Basin, which is adjudicated.  The safe yield of the Verdugo Basin as determined by the adjudication is 7,150 acre-feet per year of which the District has a right to 3,294 acre-feet per year and the City of Glendale has a right to 3,856 acre-feet per year.  If all of the District’s wells are operating, the District has the ability to pump approximately 4,650 acre-feet per year, which is more than the District’s entitlement.</t>
  </si>
  <si>
    <t>This amount does not include Well 16, which was just placed into service in March 2016.  The District entered into an agreement with the City of Glendale in 2016 to lease their water rights such that it will allow the District to pump an additional 480 acre-feet per year bringing the water available to pump to 3,774 acre-feet per year.</t>
  </si>
  <si>
    <t>Calculations:</t>
  </si>
  <si>
    <t>The State Water Resources Control Board (State) required the District to analyze how much water supply would be available to serve in water years (WY) 2017, 2018, and 2019 during dry weather conditions.</t>
  </si>
  <si>
    <t>Process:</t>
  </si>
  <si>
    <r>
      <t>1.</t>
    </r>
    <r>
      <rPr>
        <sz val="7"/>
        <color theme="1"/>
        <rFont val="Times New Roman"/>
        <family val="1"/>
      </rPr>
      <t xml:space="preserve">      </t>
    </r>
    <r>
      <rPr>
        <sz val="12"/>
        <color theme="1"/>
        <rFont val="Times New Roman"/>
        <family val="1"/>
      </rPr>
      <t>District began the Self Certification Conservation Study by analyzing how much water was pumped from the Verdugo Basin during WY 2012, 2013, 2014, and 2015. (Column 2)</t>
    </r>
  </si>
  <si>
    <r>
      <t>2.</t>
    </r>
    <r>
      <rPr>
        <sz val="7"/>
        <color theme="1"/>
        <rFont val="Times New Roman"/>
        <family val="1"/>
      </rPr>
      <t xml:space="preserve">      </t>
    </r>
    <r>
      <rPr>
        <sz val="12"/>
        <color rgb="FF000000"/>
        <rFont val="Times New Roman"/>
        <family val="1"/>
      </rPr>
      <t>For each water year, the percent decrease in water that was pumped from the basin was calculated (Column 3).</t>
    </r>
  </si>
  <si>
    <r>
      <t>3.</t>
    </r>
    <r>
      <rPr>
        <sz val="7"/>
        <color theme="1"/>
        <rFont val="Times New Roman"/>
        <family val="1"/>
      </rPr>
      <t xml:space="preserve">      </t>
    </r>
    <r>
      <rPr>
        <sz val="12"/>
        <color rgb="FF000000"/>
        <rFont val="Times New Roman"/>
        <family val="1"/>
      </rPr>
      <t xml:space="preserve">Each percent reduction was analyzed against the decrease in water demand, operational changes, and hydraulic conditions which would have impacted the amount of water pumped versus the amount of water available to pump. </t>
    </r>
  </si>
  <si>
    <r>
      <t>4.</t>
    </r>
    <r>
      <rPr>
        <sz val="7"/>
        <color theme="1"/>
        <rFont val="Times New Roman"/>
        <family val="1"/>
      </rPr>
      <t xml:space="preserve">      </t>
    </r>
    <r>
      <rPr>
        <sz val="12"/>
        <color rgb="FF000000"/>
        <rFont val="Times New Roman"/>
        <family val="1"/>
      </rPr>
      <t>An adjustment, if applicable was applied to the amount of water pumped and a new percent reduction in groundwater was calculated for each water year.</t>
    </r>
  </si>
  <si>
    <r>
      <t>a.</t>
    </r>
    <r>
      <rPr>
        <sz val="7"/>
        <color theme="1"/>
        <rFont val="Times New Roman"/>
        <family val="1"/>
      </rPr>
      <t xml:space="preserve">       </t>
    </r>
    <r>
      <rPr>
        <sz val="12"/>
        <color rgb="FF000000"/>
        <rFont val="Times New Roman"/>
        <family val="1"/>
      </rPr>
      <t>Beginning with the adjusted amount of water pumped in the last complete water year 2015 and assuming the same hydraulic conditions as specified in the State regulation (Tab Rainfall CIMIS)</t>
    </r>
  </si>
  <si>
    <r>
      <t>b.</t>
    </r>
    <r>
      <rPr>
        <sz val="7"/>
        <color theme="1"/>
        <rFont val="Times New Roman"/>
        <family val="1"/>
      </rPr>
      <t xml:space="preserve">      </t>
    </r>
    <r>
      <rPr>
        <sz val="12"/>
        <color rgb="FF000000"/>
        <rFont val="Times New Roman"/>
        <family val="1"/>
      </rPr>
      <t xml:space="preserve">District assumed the same percent decrease in pumping would exist for each of the following three water years, 2017, 2018, and 2019 as has occurred in 2013, 2014, and 2015. </t>
    </r>
  </si>
  <si>
    <r>
      <t>5.</t>
    </r>
    <r>
      <rPr>
        <sz val="7"/>
        <color rgb="FF000000"/>
        <rFont val="Times New Roman"/>
        <family val="1"/>
      </rPr>
      <t xml:space="preserve">      </t>
    </r>
    <r>
      <rPr>
        <sz val="12"/>
        <color rgb="FF000000"/>
        <rFont val="Times New Roman"/>
        <family val="1"/>
      </rPr>
      <t>The District’s Well 16 is listed as a separate line item as it was placed into service in March 2016 and is therefore not included in any historical groundwater numbers.</t>
    </r>
  </si>
  <si>
    <t>6.      The total groundwater available was added with the imported water available from FMWD as posted at http://www.fmwd.com/resources/documents/reports/SWRCB-Foothill-MWD-Analysis-and-Supporting-Documentation.pdf.</t>
  </si>
  <si>
    <r>
      <t>7.</t>
    </r>
    <r>
      <rPr>
        <sz val="7"/>
        <color rgb="FF000000"/>
        <rFont val="Times New Roman"/>
        <family val="1"/>
      </rPr>
      <t xml:space="preserve">      </t>
    </r>
    <r>
      <rPr>
        <sz val="12"/>
        <color rgb="FF000000"/>
        <rFont val="Times New Roman"/>
        <family val="1"/>
      </rPr>
      <t>The total available water supply was reduced by the averaged demand of 4,555.5 AF per year as calculated by the State’s regulation.</t>
    </r>
  </si>
  <si>
    <r>
      <t>8.</t>
    </r>
    <r>
      <rPr>
        <sz val="7"/>
        <color rgb="FF000000"/>
        <rFont val="Times New Roman"/>
        <family val="1"/>
      </rPr>
      <t xml:space="preserve">      </t>
    </r>
    <r>
      <rPr>
        <sz val="12"/>
        <color rgb="FF000000"/>
        <rFont val="Times New Roman"/>
        <family val="1"/>
      </rPr>
      <t xml:space="preserve">As shown in the table, in each of the three water years calculated, there is ample water supply available, therefore no water shortage exists and the calculated Conservation Standard is “0” percent. </t>
    </r>
  </si>
  <si>
    <t>Adjustments:</t>
  </si>
  <si>
    <t>For WY 2013, no adjustment was made.  As shown in the table under the “Water Usage by Water Year” tab, the demand changes were insignificant, and while some of the 5.6% decrease in pumping could be operational, all reduction will be attributed to hydraulic conditions and were used to calculate the worst case scenario for water supply conditions.</t>
  </si>
  <si>
    <t>For WY 2014, an additional 249 AF adjustment was included in the available groundwater due to well rehabilitation performed in 2013 and 2014 on Wells 5, 8, 9, and 12 when the wells were taken out of service.  The amount of water produced from these wells is shown on the “Lost Production for 2013-2014” tab and estimated pumping volumes were used to calculate the amount of water that was not pumped as the wells were out of service.</t>
  </si>
  <si>
    <t>For WY 2015, the water production was the lowest groundwater production year since 1986 and was mainly due to the lower static well levels, which decreases pumping capacity. WY 2015, lower production numbers were used to calculate the worst case scenario for water supply conditions.</t>
  </si>
  <si>
    <t>For WY 2015, a decrease adjustment of 205 AF was made for the available groundwater.  The “Water Usage by Water Year” tab shows a nearly 19% decrease in demands which is approximately 858 AF.</t>
  </si>
  <si>
    <t xml:space="preserve">By extrapolating the groundwater versus imported water split of 54% versus 46% for that year, the pumped groundwater reduced by demand would account for approximately 463 AF reduction in water pumped.   Again in order to calculate the worst case water supply availability, it was assumed that only 10% more groundwater was available than was pumped reducing the adjustment to 205AF of water. </t>
  </si>
  <si>
    <t xml:space="preserve">Starting with the existing state of the groundwater basin, calculate groundwater which would be available to pump from the basin assuming the same hydraulic conditions as water years 2013, 2014, and 2015, and then add the available imported water from FMWD.  </t>
  </si>
  <si>
    <t>The District’s calculations tab summarizes the numbers which were used to establish the Self Certification Conservation Standard of “0”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</si>
</sst>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0.0_);[Red]\(#,##0.0\)"/>
    <numFmt numFmtId="165" formatCode="0_);[Red]\(0\)"/>
    <numFmt numFmtId="166" formatCode="0.00_);\(0.00\)"/>
    <numFmt numFmtId="167" formatCode="0.0"/>
    <numFmt numFmtId="168" formatCode="#,##0.0"/>
    <numFmt numFmtId="169" formatCode="0.0%"/>
    <numFmt numFmtId="170" formatCode="#,##0.000"/>
    <numFmt numFmtId="171" formatCode="#,##0.0000"/>
    <numFmt numFmtId="172" formatCode="#,##0.0000_);\(#,##0.0000\)"/>
    <numFmt numFmtId="173" formatCode="_(* #,##0_);_(* \(#,##0\);_(* &quot;-&quot;??_);_(@_)"/>
    <numFmt numFmtId="174" formatCode="[$-409]mmm\-yy;@"/>
    <numFmt numFmtId="175" formatCode="#,##0.00000000000_);\(#,##0.00000000000\)"/>
  </numFmts>
  <fonts count="31" x14ac:knownFonts="1">
    <font>
      <sz val="11"/>
      <color theme="1"/>
      <name val="Calibri"/>
      <family val="2"/>
      <scheme val="minor"/>
    </font>
    <font>
      <b/>
      <sz val="10"/>
      <name val="Arial"/>
      <family val="2"/>
    </font>
    <font>
      <b/>
      <sz val="10"/>
      <color indexed="10"/>
      <name val="Arial"/>
      <family val="2"/>
    </font>
    <font>
      <sz val="10"/>
      <name val="Arial"/>
      <family val="2"/>
    </font>
    <font>
      <sz val="10"/>
      <name val="Times New Roman"/>
      <family val="1"/>
    </font>
    <font>
      <b/>
      <sz val="10"/>
      <name val="Times New Roman"/>
      <family val="1"/>
    </font>
    <font>
      <sz val="10"/>
      <color indexed="10"/>
      <name val="Times New Roman"/>
      <family val="1"/>
    </font>
    <font>
      <sz val="11"/>
      <color theme="1"/>
      <name val="Calibri"/>
      <family val="2"/>
      <scheme val="minor"/>
    </font>
    <font>
      <b/>
      <sz val="11"/>
      <color theme="1"/>
      <name val="Calibri"/>
      <family val="2"/>
      <scheme val="minor"/>
    </font>
    <font>
      <b/>
      <i/>
      <sz val="10"/>
      <name val="Arial"/>
      <family val="2"/>
    </font>
    <font>
      <sz val="8"/>
      <name val="Arial"/>
      <family val="2"/>
    </font>
    <font>
      <i/>
      <sz val="10"/>
      <name val="Arial"/>
      <family val="2"/>
    </font>
    <font>
      <i/>
      <sz val="10"/>
      <color indexed="10"/>
      <name val="Arial"/>
      <family val="2"/>
    </font>
    <font>
      <sz val="10"/>
      <color indexed="12"/>
      <name val="Arial"/>
      <family val="2"/>
    </font>
    <font>
      <sz val="9"/>
      <name val="Arial"/>
      <family val="2"/>
    </font>
    <font>
      <sz val="10"/>
      <color rgb="FFFF0000"/>
      <name val="Arial"/>
      <family val="2"/>
    </font>
    <font>
      <b/>
      <sz val="10"/>
      <color rgb="FFFF0000"/>
      <name val="Arial"/>
      <family val="2"/>
    </font>
    <font>
      <b/>
      <sz val="11"/>
      <color rgb="FF000080"/>
      <name val="Arial"/>
      <family val="2"/>
    </font>
    <font>
      <sz val="11"/>
      <color theme="1"/>
      <name val="Arial"/>
      <family val="2"/>
    </font>
    <font>
      <b/>
      <sz val="11"/>
      <color theme="1"/>
      <name val="Arial"/>
      <family val="2"/>
    </font>
    <font>
      <sz val="10"/>
      <color theme="1"/>
      <name val="Arial"/>
      <family val="2"/>
    </font>
    <font>
      <b/>
      <sz val="10"/>
      <color theme="1"/>
      <name val="Arial"/>
      <family val="2"/>
    </font>
    <font>
      <b/>
      <vertAlign val="superscript"/>
      <sz val="10"/>
      <name val="Arial"/>
      <family val="2"/>
    </font>
    <font>
      <b/>
      <u/>
      <sz val="10"/>
      <name val="Arial"/>
      <family val="2"/>
    </font>
    <font>
      <sz val="12"/>
      <color theme="1"/>
      <name val="Times New Roman"/>
      <family val="1"/>
    </font>
    <font>
      <b/>
      <u/>
      <sz val="12"/>
      <color theme="1"/>
      <name val="Times New Roman"/>
      <family val="1"/>
    </font>
    <font>
      <sz val="7"/>
      <color theme="1"/>
      <name val="Times New Roman"/>
      <family val="1"/>
    </font>
    <font>
      <sz val="12"/>
      <color rgb="FF000000"/>
      <name val="Times New Roman"/>
      <family val="1"/>
    </font>
    <font>
      <sz val="7"/>
      <color rgb="FF000000"/>
      <name val="Times New Roman"/>
      <family val="1"/>
    </font>
    <font>
      <b/>
      <u/>
      <sz val="12"/>
      <color rgb="FF000000"/>
      <name val="Times New Roman"/>
      <family val="1"/>
    </font>
    <font>
      <u/>
      <sz val="11"/>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s>
  <cellStyleXfs count="8">
    <xf numFmtId="0" fontId="0" fillId="0" borderId="0"/>
    <xf numFmtId="9" fontId="7"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7" fillId="0" borderId="0" applyFont="0" applyFill="0" applyBorder="0" applyAlignment="0" applyProtection="0"/>
    <xf numFmtId="0" fontId="30" fillId="0" borderId="0" applyNumberFormat="0" applyFill="0" applyBorder="0" applyAlignment="0" applyProtection="0"/>
  </cellStyleXfs>
  <cellXfs count="459">
    <xf numFmtId="0" fontId="0" fillId="0" borderId="0" xfId="0"/>
    <xf numFmtId="0" fontId="4" fillId="0" borderId="0" xfId="0" applyFont="1" applyBorder="1"/>
    <xf numFmtId="0" fontId="4" fillId="0" borderId="0" xfId="0" applyFont="1" applyBorder="1" applyAlignment="1">
      <alignment horizontal="center" vertical="center"/>
    </xf>
    <xf numFmtId="165" fontId="4" fillId="0" borderId="0" xfId="0" applyNumberFormat="1" applyFont="1" applyBorder="1" applyAlignment="1">
      <alignment horizontal="center" vertical="center"/>
    </xf>
    <xf numFmtId="1" fontId="4" fillId="0" borderId="0" xfId="0" applyNumberFormat="1" applyFont="1" applyBorder="1" applyAlignment="1">
      <alignment horizontal="center"/>
    </xf>
    <xf numFmtId="0" fontId="4" fillId="0" borderId="0" xfId="0" applyFont="1" applyBorder="1" applyAlignment="1">
      <alignment horizontal="center"/>
    </xf>
    <xf numFmtId="0" fontId="5" fillId="0" borderId="10" xfId="0" applyFont="1" applyBorder="1" applyAlignment="1">
      <alignment horizontal="center" vertical="center"/>
    </xf>
    <xf numFmtId="165" fontId="5" fillId="0" borderId="1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6" fontId="5" fillId="0" borderId="0" xfId="0" applyNumberFormat="1" applyFont="1" applyBorder="1" applyAlignment="1">
      <alignment horizontal="center"/>
    </xf>
    <xf numFmtId="0" fontId="5" fillId="0" borderId="0" xfId="0" applyFont="1" applyBorder="1" applyAlignment="1">
      <alignment horizontal="center"/>
    </xf>
    <xf numFmtId="0" fontId="5" fillId="0" borderId="0" xfId="0" applyFont="1" applyBorder="1"/>
    <xf numFmtId="17" fontId="4" fillId="0" borderId="12" xfId="0" applyNumberFormat="1" applyFont="1" applyBorder="1" applyAlignment="1" applyProtection="1">
      <alignment horizontal="center" vertical="center"/>
      <protection locked="0"/>
    </xf>
    <xf numFmtId="165" fontId="4" fillId="0" borderId="13"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17" fontId="4" fillId="0" borderId="14" xfId="0" applyNumberFormat="1" applyFont="1" applyBorder="1" applyAlignment="1" applyProtection="1">
      <alignment horizontal="center" vertical="center"/>
      <protection locked="0"/>
    </xf>
    <xf numFmtId="165" fontId="4" fillId="0" borderId="15"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16" xfId="0" applyNumberFormat="1" applyFont="1" applyBorder="1" applyAlignment="1">
      <alignment horizontal="center" vertical="center"/>
    </xf>
    <xf numFmtId="17" fontId="5" fillId="0" borderId="14" xfId="0" applyNumberFormat="1" applyFont="1" applyBorder="1" applyAlignment="1" applyProtection="1">
      <alignment horizontal="center" vertical="center"/>
      <protection locked="0"/>
    </xf>
    <xf numFmtId="17" fontId="4" fillId="0" borderId="14" xfId="0" applyNumberFormat="1" applyFont="1" applyBorder="1" applyAlignment="1">
      <alignment horizontal="center" vertical="center"/>
    </xf>
    <xf numFmtId="17" fontId="4" fillId="0" borderId="14"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4" fillId="0" borderId="16" xfId="0" applyNumberFormat="1" applyFont="1" applyFill="1" applyBorder="1" applyAlignment="1">
      <alignment horizontal="center" vertical="center"/>
    </xf>
    <xf numFmtId="1" fontId="4"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xf numFmtId="1" fontId="4" fillId="0" borderId="0" xfId="0" applyNumberFormat="1" applyFont="1" applyBorder="1" applyAlignment="1" applyProtection="1">
      <alignment horizontal="center"/>
      <protection locked="0"/>
    </xf>
    <xf numFmtId="1" fontId="6" fillId="0" borderId="0" xfId="0" applyNumberFormat="1" applyFont="1" applyBorder="1" applyAlignment="1" applyProtection="1">
      <alignment horizontal="center"/>
      <protection locked="0"/>
    </xf>
    <xf numFmtId="1" fontId="4" fillId="0" borderId="0" xfId="0" applyNumberFormat="1" applyFont="1" applyFill="1" applyBorder="1" applyAlignment="1" applyProtection="1">
      <alignment horizontal="center"/>
      <protection locked="0"/>
    </xf>
    <xf numFmtId="1" fontId="6" fillId="0" borderId="0" xfId="0" applyNumberFormat="1" applyFont="1" applyFill="1" applyBorder="1" applyAlignment="1" applyProtection="1">
      <alignment horizontal="center"/>
      <protection locked="0"/>
    </xf>
    <xf numFmtId="17" fontId="4" fillId="0" borderId="17" xfId="0" applyNumberFormat="1" applyFont="1" applyBorder="1" applyAlignment="1">
      <alignment horizontal="center" vertical="center"/>
    </xf>
    <xf numFmtId="165" fontId="4" fillId="0" borderId="18" xfId="0" applyNumberFormat="1" applyFont="1" applyBorder="1" applyAlignment="1">
      <alignment horizontal="center" vertical="center"/>
    </xf>
    <xf numFmtId="165" fontId="4" fillId="0" borderId="19" xfId="0" applyNumberFormat="1" applyFont="1" applyBorder="1" applyAlignment="1">
      <alignment horizontal="center" vertical="center"/>
    </xf>
    <xf numFmtId="165" fontId="4" fillId="0" borderId="19" xfId="0" applyNumberFormat="1" applyFont="1" applyFill="1" applyBorder="1" applyAlignment="1">
      <alignment horizontal="center" vertical="center"/>
    </xf>
    <xf numFmtId="165" fontId="4" fillId="0" borderId="20" xfId="0" applyNumberFormat="1" applyFont="1" applyBorder="1" applyAlignment="1">
      <alignment horizontal="center" vertical="center"/>
    </xf>
    <xf numFmtId="17" fontId="4" fillId="0" borderId="21"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165" fontId="4" fillId="0" borderId="2" xfId="0" applyNumberFormat="1" applyFont="1" applyBorder="1" applyAlignment="1" applyProtection="1">
      <alignment horizontal="center" vertical="center"/>
      <protection locked="0"/>
    </xf>
    <xf numFmtId="165" fontId="4" fillId="0" borderId="8" xfId="0" applyNumberFormat="1" applyFont="1" applyBorder="1" applyAlignment="1" applyProtection="1">
      <alignment horizontal="center" vertical="center"/>
      <protection locked="0"/>
    </xf>
    <xf numFmtId="165" fontId="4" fillId="0" borderId="15"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16" xfId="0" applyNumberFormat="1" applyFont="1" applyBorder="1" applyAlignment="1" applyProtection="1">
      <alignment horizontal="center" vertical="center"/>
      <protection locked="0"/>
    </xf>
    <xf numFmtId="0" fontId="4" fillId="0" borderId="17" xfId="0" applyFont="1" applyBorder="1" applyAlignment="1">
      <alignment horizontal="center" vertical="center"/>
    </xf>
    <xf numFmtId="165" fontId="4" fillId="0" borderId="18" xfId="0" applyNumberFormat="1" applyFont="1" applyBorder="1" applyAlignment="1" applyProtection="1">
      <alignment horizontal="center" vertical="center"/>
      <protection locked="0"/>
    </xf>
    <xf numFmtId="165" fontId="4" fillId="0" borderId="19" xfId="0" applyNumberFormat="1" applyFont="1" applyBorder="1" applyAlignment="1" applyProtection="1">
      <alignment horizontal="center" vertical="center"/>
      <protection locked="0"/>
    </xf>
    <xf numFmtId="165" fontId="4" fillId="0" borderId="20" xfId="0" applyNumberFormat="1" applyFont="1" applyBorder="1" applyAlignment="1" applyProtection="1">
      <alignment horizontal="center" vertical="center"/>
      <protection locked="0"/>
    </xf>
    <xf numFmtId="165" fontId="4" fillId="2"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1" fontId="4" fillId="4" borderId="0" xfId="0" applyNumberFormat="1" applyFont="1" applyFill="1" applyBorder="1" applyAlignment="1" applyProtection="1">
      <alignment horizontal="center"/>
      <protection locked="0"/>
    </xf>
    <xf numFmtId="1" fontId="4" fillId="3" borderId="0" xfId="0" applyNumberFormat="1" applyFont="1" applyFill="1" applyBorder="1" applyAlignment="1" applyProtection="1">
      <alignment horizontal="center"/>
      <protection locked="0"/>
    </xf>
    <xf numFmtId="1" fontId="4" fillId="2" borderId="0" xfId="0" applyNumberFormat="1" applyFont="1" applyFill="1" applyBorder="1" applyAlignment="1" applyProtection="1">
      <alignment horizontal="center"/>
      <protection locked="0"/>
    </xf>
    <xf numFmtId="2" fontId="4" fillId="0" borderId="0" xfId="0" applyNumberFormat="1" applyFont="1" applyBorder="1" applyAlignment="1" applyProtection="1">
      <alignment horizontal="center"/>
      <protection locked="0"/>
    </xf>
    <xf numFmtId="38" fontId="0" fillId="0" borderId="0" xfId="0" applyNumberFormat="1"/>
    <xf numFmtId="0" fontId="0" fillId="0" borderId="0" xfId="0" applyAlignment="1">
      <alignment horizontal="center"/>
    </xf>
    <xf numFmtId="10" fontId="3" fillId="0" borderId="0" xfId="5" applyNumberFormat="1" applyFont="1" applyAlignment="1">
      <alignment horizontal="center"/>
    </xf>
    <xf numFmtId="9" fontId="3" fillId="0" borderId="0" xfId="5" applyFont="1" applyAlignment="1">
      <alignment horizontal="center"/>
    </xf>
    <xf numFmtId="43" fontId="3" fillId="0" borderId="0" xfId="3" applyFont="1"/>
    <xf numFmtId="10" fontId="3" fillId="0" borderId="0" xfId="5" applyNumberFormat="1" applyFont="1"/>
    <xf numFmtId="9" fontId="3" fillId="0" borderId="0" xfId="5" applyFont="1" applyBorder="1" applyAlignment="1">
      <alignment horizontal="center"/>
    </xf>
    <xf numFmtId="9" fontId="3" fillId="0" borderId="0" xfId="5" applyFont="1"/>
    <xf numFmtId="169" fontId="3" fillId="0" borderId="0" xfId="5" applyNumberFormat="1" applyFont="1"/>
    <xf numFmtId="169" fontId="3" fillId="0" borderId="0" xfId="5" applyNumberFormat="1" applyFont="1" applyAlignment="1">
      <alignment horizontal="center"/>
    </xf>
    <xf numFmtId="43" fontId="3" fillId="0" borderId="0" xfId="3" applyFont="1" applyAlignment="1">
      <alignment horizontal="center"/>
    </xf>
    <xf numFmtId="9" fontId="3" fillId="0" borderId="0" xfId="5" applyNumberFormat="1" applyFont="1" applyAlignment="1">
      <alignment horizontal="center"/>
    </xf>
    <xf numFmtId="173" fontId="3" fillId="0" borderId="0" xfId="3" applyNumberFormat="1" applyFont="1" applyAlignment="1">
      <alignment horizontal="center"/>
    </xf>
    <xf numFmtId="9" fontId="12" fillId="0" borderId="0" xfId="5" applyFont="1" applyAlignment="1">
      <alignment horizontal="center"/>
    </xf>
    <xf numFmtId="9" fontId="11" fillId="0" borderId="0" xfId="5" applyFont="1" applyAlignment="1">
      <alignment horizontal="center"/>
    </xf>
    <xf numFmtId="173" fontId="3" fillId="0" borderId="0" xfId="3" applyNumberFormat="1" applyFont="1"/>
    <xf numFmtId="39" fontId="9" fillId="0" borderId="0" xfId="2" applyNumberFormat="1" applyFont="1" applyAlignment="1">
      <alignment horizontal="center"/>
    </xf>
    <xf numFmtId="10" fontId="3" fillId="0" borderId="0" xfId="5" applyNumberFormat="1" applyFont="1" applyFill="1"/>
    <xf numFmtId="38" fontId="3" fillId="0" borderId="0" xfId="3" applyNumberFormat="1" applyFont="1" applyAlignment="1">
      <alignment horizontal="center"/>
    </xf>
    <xf numFmtId="2" fontId="3" fillId="0" borderId="0" xfId="5" applyNumberFormat="1" applyFont="1" applyAlignment="1">
      <alignment horizontal="center" vertical="center"/>
    </xf>
    <xf numFmtId="38" fontId="3" fillId="0" borderId="0" xfId="5" applyNumberFormat="1" applyFont="1"/>
    <xf numFmtId="40" fontId="3" fillId="0" borderId="0" xfId="3" applyNumberFormat="1" applyFont="1" applyAlignment="1">
      <alignment horizontal="center"/>
    </xf>
    <xf numFmtId="17" fontId="3" fillId="0" borderId="0" xfId="0" applyNumberFormat="1" applyFont="1" applyAlignment="1">
      <alignment horizontal="center"/>
    </xf>
    <xf numFmtId="0" fontId="3" fillId="0" borderId="0" xfId="0" applyFont="1" applyAlignment="1">
      <alignment horizontal="center"/>
    </xf>
    <xf numFmtId="0" fontId="3" fillId="0" borderId="0" xfId="0" applyFont="1" applyBorder="1" applyAlignment="1">
      <alignment horizontal="center"/>
    </xf>
    <xf numFmtId="39" fontId="3" fillId="0" borderId="0" xfId="0" applyNumberFormat="1" applyFont="1" applyAlignment="1">
      <alignment horizontal="center"/>
    </xf>
    <xf numFmtId="0" fontId="3" fillId="0" borderId="0" xfId="0" applyFont="1"/>
    <xf numFmtId="0" fontId="3" fillId="0" borderId="0" xfId="0" applyFont="1" applyFill="1" applyAlignment="1">
      <alignment horizontal="center"/>
    </xf>
    <xf numFmtId="0" fontId="3" fillId="0" borderId="0" xfId="0" applyFont="1" applyFill="1"/>
    <xf numFmtId="17" fontId="1" fillId="0" borderId="25" xfId="0" applyNumberFormat="1" applyFont="1" applyBorder="1" applyAlignment="1">
      <alignment horizontal="center"/>
    </xf>
    <xf numFmtId="37" fontId="3" fillId="0" borderId="26" xfId="0" applyNumberFormat="1" applyFont="1" applyBorder="1" applyAlignment="1">
      <alignment horizontal="center"/>
    </xf>
    <xf numFmtId="37" fontId="3" fillId="0" borderId="25" xfId="0" applyNumberFormat="1" applyFont="1" applyBorder="1" applyAlignment="1">
      <alignment horizontal="center"/>
    </xf>
    <xf numFmtId="17" fontId="1" fillId="0" borderId="40" xfId="0" applyNumberFormat="1" applyFont="1" applyBorder="1" applyAlignment="1">
      <alignment horizontal="center"/>
    </xf>
    <xf numFmtId="3" fontId="3" fillId="0" borderId="25" xfId="0" applyNumberFormat="1" applyFont="1" applyBorder="1" applyAlignment="1">
      <alignment horizontal="center"/>
    </xf>
    <xf numFmtId="3" fontId="3" fillId="0" borderId="26" xfId="0" applyNumberFormat="1" applyFont="1" applyBorder="1" applyAlignment="1">
      <alignment horizontal="center"/>
    </xf>
    <xf numFmtId="3" fontId="3" fillId="0" borderId="40" xfId="0" applyNumberFormat="1" applyFont="1" applyBorder="1" applyAlignment="1">
      <alignment horizontal="center"/>
    </xf>
    <xf numFmtId="0" fontId="3" fillId="0" borderId="26" xfId="0" applyFont="1" applyBorder="1"/>
    <xf numFmtId="0" fontId="3" fillId="0" borderId="31" xfId="0" applyFont="1" applyBorder="1"/>
    <xf numFmtId="17" fontId="1" fillId="0" borderId="43" xfId="0" applyNumberFormat="1" applyFont="1" applyFill="1" applyBorder="1" applyAlignment="1">
      <alignment horizontal="center"/>
    </xf>
    <xf numFmtId="4" fontId="3" fillId="0" borderId="26" xfId="0" applyNumberFormat="1" applyFont="1" applyBorder="1" applyAlignment="1">
      <alignment horizontal="center"/>
    </xf>
    <xf numFmtId="37" fontId="3" fillId="0" borderId="0" xfId="0" applyNumberFormat="1" applyFont="1" applyBorder="1" applyAlignment="1">
      <alignment horizontal="center"/>
    </xf>
    <xf numFmtId="0" fontId="3" fillId="0" borderId="24" xfId="0" applyFont="1" applyBorder="1"/>
    <xf numFmtId="0" fontId="3" fillId="0" borderId="25" xfId="0" applyFont="1" applyBorder="1" applyAlignment="1">
      <alignment horizontal="center"/>
    </xf>
    <xf numFmtId="0" fontId="3" fillId="0" borderId="26"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17" fontId="3" fillId="0" borderId="31" xfId="0" applyNumberFormat="1" applyFont="1" applyBorder="1" applyAlignment="1">
      <alignment horizontal="center"/>
    </xf>
    <xf numFmtId="37" fontId="3" fillId="0" borderId="32" xfId="0" applyNumberFormat="1" applyFont="1" applyBorder="1" applyAlignment="1">
      <alignment horizontal="center"/>
    </xf>
    <xf numFmtId="0" fontId="3" fillId="0" borderId="41" xfId="0" applyFont="1" applyBorder="1" applyAlignment="1">
      <alignment horizontal="center"/>
    </xf>
    <xf numFmtId="3" fontId="3" fillId="0" borderId="0" xfId="0" applyNumberFormat="1" applyFont="1" applyBorder="1" applyAlignment="1">
      <alignment horizontal="center"/>
    </xf>
    <xf numFmtId="3" fontId="3" fillId="0" borderId="32" xfId="0" applyNumberFormat="1" applyFont="1" applyBorder="1" applyAlignment="1">
      <alignment horizontal="center"/>
    </xf>
    <xf numFmtId="0" fontId="3" fillId="0" borderId="0" xfId="0" applyFont="1" applyBorder="1"/>
    <xf numFmtId="17" fontId="3" fillId="0" borderId="22" xfId="0" applyNumberFormat="1" applyFont="1" applyFill="1" applyBorder="1" applyAlignment="1">
      <alignment horizontal="center"/>
    </xf>
    <xf numFmtId="37" fontId="3" fillId="0" borderId="0" xfId="0" applyNumberFormat="1" applyFont="1" applyFill="1" applyBorder="1" applyAlignment="1">
      <alignment horizontal="center"/>
    </xf>
    <xf numFmtId="0" fontId="3" fillId="0" borderId="23" xfId="0" applyFont="1" applyFill="1" applyBorder="1" applyAlignment="1">
      <alignment horizontal="center"/>
    </xf>
    <xf numFmtId="3" fontId="3" fillId="0" borderId="0" xfId="0" applyNumberFormat="1" applyFont="1" applyFill="1" applyBorder="1" applyAlignment="1">
      <alignment horizontal="center"/>
    </xf>
    <xf numFmtId="3" fontId="3" fillId="0" borderId="36" xfId="0" applyNumberFormat="1" applyFont="1" applyBorder="1" applyAlignment="1">
      <alignment horizontal="center"/>
    </xf>
    <xf numFmtId="3" fontId="3" fillId="0" borderId="23" xfId="0" applyNumberFormat="1" applyFont="1" applyBorder="1" applyAlignment="1">
      <alignment horizontal="center"/>
    </xf>
    <xf numFmtId="4" fontId="3" fillId="0" borderId="32" xfId="0" applyNumberFormat="1" applyFont="1" applyBorder="1" applyAlignment="1">
      <alignment horizontal="center"/>
    </xf>
    <xf numFmtId="17" fontId="3" fillId="0" borderId="43" xfId="0" applyNumberFormat="1" applyFont="1" applyBorder="1" applyAlignment="1">
      <alignment horizontal="center"/>
    </xf>
    <xf numFmtId="37" fontId="3" fillId="0" borderId="24" xfId="0" applyNumberFormat="1" applyFont="1" applyBorder="1" applyAlignment="1">
      <alignment horizontal="center"/>
    </xf>
    <xf numFmtId="37" fontId="3" fillId="0" borderId="25" xfId="0" applyNumberFormat="1" applyFont="1" applyBorder="1" applyAlignment="1"/>
    <xf numFmtId="37" fontId="3" fillId="0" borderId="26" xfId="0" applyNumberFormat="1" applyFont="1" applyBorder="1" applyAlignment="1"/>
    <xf numFmtId="0" fontId="3" fillId="0" borderId="40" xfId="0" applyFont="1" applyBorder="1" applyAlignment="1">
      <alignment horizontal="center"/>
    </xf>
    <xf numFmtId="3" fontId="3" fillId="0" borderId="24" xfId="0" applyNumberFormat="1" applyFont="1" applyBorder="1" applyAlignment="1">
      <alignment horizontal="center"/>
    </xf>
    <xf numFmtId="3" fontId="3" fillId="0" borderId="38" xfId="0" applyNumberFormat="1" applyFont="1" applyBorder="1" applyAlignment="1">
      <alignment horizontal="center"/>
    </xf>
    <xf numFmtId="4" fontId="3" fillId="0" borderId="25" xfId="0" applyNumberFormat="1" applyFont="1" applyBorder="1" applyAlignment="1">
      <alignment horizontal="center"/>
    </xf>
    <xf numFmtId="0" fontId="3" fillId="0" borderId="24" xfId="0" applyFont="1" applyBorder="1" applyAlignment="1">
      <alignment horizontal="center"/>
    </xf>
    <xf numFmtId="37" fontId="3" fillId="0" borderId="32" xfId="0" applyNumberFormat="1" applyFont="1" applyFill="1" applyBorder="1" applyAlignment="1">
      <alignment horizontal="center"/>
    </xf>
    <xf numFmtId="0" fontId="3" fillId="0" borderId="53" xfId="0" applyFont="1" applyFill="1" applyBorder="1" applyAlignment="1">
      <alignment horizontal="center"/>
    </xf>
    <xf numFmtId="0" fontId="3" fillId="0" borderId="0" xfId="0" applyFont="1" applyFill="1" applyBorder="1" applyAlignment="1">
      <alignment horizontal="center"/>
    </xf>
    <xf numFmtId="0" fontId="3" fillId="0" borderId="36" xfId="0" applyFont="1" applyFill="1" applyBorder="1" applyAlignment="1">
      <alignment horizontal="center"/>
    </xf>
    <xf numFmtId="37" fontId="10" fillId="0" borderId="0" xfId="0" applyNumberFormat="1" applyFont="1" applyFill="1" applyBorder="1" applyAlignment="1">
      <alignment horizontal="center"/>
    </xf>
    <xf numFmtId="37" fontId="3" fillId="0" borderId="36" xfId="0" applyNumberFormat="1" applyFont="1" applyFill="1" applyBorder="1" applyAlignment="1">
      <alignment horizontal="center"/>
    </xf>
    <xf numFmtId="17" fontId="3" fillId="0" borderId="22" xfId="0" applyNumberFormat="1" applyFont="1" applyBorder="1" applyAlignment="1">
      <alignment horizontal="center"/>
    </xf>
    <xf numFmtId="0" fontId="3" fillId="0" borderId="32" xfId="0" applyFont="1" applyBorder="1" applyAlignment="1">
      <alignment horizontal="center"/>
    </xf>
    <xf numFmtId="37" fontId="3" fillId="0" borderId="31" xfId="0" applyNumberFormat="1" applyFont="1" applyFill="1" applyBorder="1" applyAlignment="1">
      <alignment horizontal="center"/>
    </xf>
    <xf numFmtId="3" fontId="3" fillId="0" borderId="31" xfId="0" applyNumberFormat="1" applyFont="1" applyBorder="1" applyAlignment="1">
      <alignment horizontal="center"/>
    </xf>
    <xf numFmtId="4" fontId="3" fillId="0" borderId="0" xfId="0" applyNumberFormat="1" applyFont="1" applyBorder="1" applyAlignment="1">
      <alignment horizontal="center"/>
    </xf>
    <xf numFmtId="0" fontId="3" fillId="0" borderId="31" xfId="0" applyFont="1" applyBorder="1" applyAlignment="1">
      <alignment horizontal="center"/>
    </xf>
    <xf numFmtId="17" fontId="3" fillId="0" borderId="28" xfId="0" applyNumberFormat="1" applyFont="1" applyBorder="1" applyAlignment="1">
      <alignment horizontal="center"/>
    </xf>
    <xf numFmtId="0" fontId="3" fillId="0" borderId="35" xfId="0" applyFont="1" applyBorder="1" applyAlignment="1">
      <alignment horizontal="center"/>
    </xf>
    <xf numFmtId="0" fontId="3" fillId="0" borderId="30" xfId="0" applyFont="1" applyBorder="1" applyAlignment="1">
      <alignment horizontal="center"/>
    </xf>
    <xf numFmtId="37" fontId="3" fillId="0" borderId="35" xfId="0" applyNumberFormat="1" applyFont="1" applyFill="1" applyBorder="1" applyAlignment="1">
      <alignment horizontal="center"/>
    </xf>
    <xf numFmtId="37" fontId="3" fillId="0" borderId="30" xfId="0" applyNumberFormat="1" applyFont="1" applyBorder="1" applyAlignment="1">
      <alignment horizontal="center"/>
    </xf>
    <xf numFmtId="0" fontId="3" fillId="0" borderId="42" xfId="0" applyFont="1" applyBorder="1" applyAlignment="1">
      <alignment horizontal="center"/>
    </xf>
    <xf numFmtId="3" fontId="3" fillId="0" borderId="35" xfId="0" applyNumberFormat="1" applyFont="1" applyBorder="1" applyAlignment="1">
      <alignment horizontal="center"/>
    </xf>
    <xf numFmtId="3" fontId="3" fillId="0" borderId="30" xfId="0" applyNumberFormat="1" applyFont="1" applyBorder="1" applyAlignment="1">
      <alignment horizontal="center"/>
    </xf>
    <xf numFmtId="17" fontId="3" fillId="0" borderId="44" xfId="0" applyNumberFormat="1" applyFont="1" applyFill="1" applyBorder="1" applyAlignment="1">
      <alignment horizontal="center"/>
    </xf>
    <xf numFmtId="0" fontId="3" fillId="0" borderId="39" xfId="0" applyFont="1" applyFill="1" applyBorder="1" applyAlignment="1">
      <alignment horizontal="center"/>
    </xf>
    <xf numFmtId="0" fontId="3" fillId="0" borderId="35" xfId="0" applyFont="1" applyFill="1" applyBorder="1" applyAlignment="1">
      <alignment horizontal="center"/>
    </xf>
    <xf numFmtId="37" fontId="3" fillId="0" borderId="37" xfId="0" applyNumberFormat="1" applyFont="1" applyFill="1" applyBorder="1" applyAlignment="1">
      <alignment horizontal="center"/>
    </xf>
    <xf numFmtId="0" fontId="3" fillId="0" borderId="29" xfId="0" applyFont="1" applyFill="1" applyBorder="1" applyAlignment="1">
      <alignment horizontal="center"/>
    </xf>
    <xf numFmtId="3" fontId="3" fillId="0" borderId="39" xfId="0" applyNumberFormat="1" applyFont="1" applyFill="1" applyBorder="1" applyAlignment="1">
      <alignment horizontal="center"/>
    </xf>
    <xf numFmtId="3" fontId="3" fillId="0" borderId="37" xfId="0" applyNumberFormat="1" applyFont="1" applyBorder="1" applyAlignment="1">
      <alignment horizontal="center"/>
    </xf>
    <xf numFmtId="3" fontId="3" fillId="0" borderId="29" xfId="0" applyNumberFormat="1" applyFont="1" applyBorder="1" applyAlignment="1">
      <alignment horizontal="center"/>
    </xf>
    <xf numFmtId="4" fontId="3" fillId="0" borderId="30" xfId="0" applyNumberFormat="1" applyFont="1" applyBorder="1" applyAlignment="1">
      <alignment horizontal="center"/>
    </xf>
    <xf numFmtId="17" fontId="3" fillId="0" borderId="44" xfId="0" applyNumberFormat="1" applyFont="1" applyBorder="1" applyAlignment="1">
      <alignment horizontal="center"/>
    </xf>
    <xf numFmtId="37" fontId="3" fillId="0" borderId="28" xfId="0" applyNumberFormat="1" applyFont="1" applyFill="1" applyBorder="1" applyAlignment="1">
      <alignment horizontal="center"/>
    </xf>
    <xf numFmtId="3" fontId="3" fillId="0" borderId="28" xfId="0" applyNumberFormat="1" applyFont="1" applyBorder="1" applyAlignment="1">
      <alignment horizontal="center"/>
    </xf>
    <xf numFmtId="4" fontId="3" fillId="0" borderId="35" xfId="0" applyNumberFormat="1" applyFont="1" applyBorder="1" applyAlignment="1">
      <alignment horizontal="center"/>
    </xf>
    <xf numFmtId="0" fontId="3" fillId="0" borderId="28" xfId="0" applyFont="1" applyBorder="1" applyAlignment="1">
      <alignment horizontal="center"/>
    </xf>
    <xf numFmtId="17" fontId="3" fillId="0" borderId="31" xfId="0" applyNumberFormat="1" applyFont="1" applyBorder="1" applyAlignment="1">
      <alignment horizontal="center" vertical="center"/>
    </xf>
    <xf numFmtId="3" fontId="3" fillId="0" borderId="0" xfId="0" applyNumberFormat="1" applyFont="1" applyBorder="1" applyAlignment="1">
      <alignment horizontal="center" vertical="center"/>
    </xf>
    <xf numFmtId="37" fontId="3" fillId="0" borderId="32" xfId="0" applyNumberFormat="1" applyFont="1" applyBorder="1" applyAlignment="1">
      <alignment horizontal="center" vertical="center"/>
    </xf>
    <xf numFmtId="37" fontId="3" fillId="0" borderId="0" xfId="0" applyNumberFormat="1" applyFont="1" applyBorder="1" applyAlignment="1">
      <alignment horizontal="center" vertical="center"/>
    </xf>
    <xf numFmtId="3" fontId="3" fillId="0" borderId="41" xfId="0" applyNumberFormat="1" applyFont="1" applyBorder="1" applyAlignment="1">
      <alignment horizontal="center" vertical="center"/>
    </xf>
    <xf numFmtId="39" fontId="3" fillId="0" borderId="41" xfId="0" applyNumberFormat="1" applyFont="1" applyBorder="1" applyAlignment="1">
      <alignment horizontal="center" vertical="center"/>
    </xf>
    <xf numFmtId="3" fontId="3" fillId="0" borderId="32" xfId="0" applyNumberFormat="1" applyFont="1" applyBorder="1" applyAlignment="1">
      <alignment horizontal="center" vertical="center"/>
    </xf>
    <xf numFmtId="4" fontId="3" fillId="0" borderId="32" xfId="0" applyNumberFormat="1" applyFont="1" applyBorder="1" applyAlignment="1">
      <alignment horizontal="center" vertical="center"/>
    </xf>
    <xf numFmtId="39" fontId="3" fillId="0" borderId="0" xfId="0" applyNumberFormat="1" applyFont="1" applyBorder="1"/>
    <xf numFmtId="4" fontId="3" fillId="0" borderId="53" xfId="0" applyNumberFormat="1" applyFont="1" applyFill="1" applyBorder="1" applyAlignment="1">
      <alignment horizontal="center"/>
    </xf>
    <xf numFmtId="4" fontId="3" fillId="0" borderId="0" xfId="0" applyNumberFormat="1" applyFont="1" applyFill="1" applyBorder="1" applyAlignment="1">
      <alignment horizontal="center"/>
    </xf>
    <xf numFmtId="4" fontId="3" fillId="0" borderId="36" xfId="0" applyNumberFormat="1" applyFont="1" applyFill="1" applyBorder="1" applyAlignment="1">
      <alignment horizontal="center"/>
    </xf>
    <xf numFmtId="4" fontId="3" fillId="0" borderId="23" xfId="0" applyNumberFormat="1" applyFont="1" applyFill="1" applyBorder="1" applyAlignment="1">
      <alignment horizontal="center"/>
    </xf>
    <xf numFmtId="4" fontId="3" fillId="0" borderId="32" xfId="0" applyNumberFormat="1" applyFont="1" applyFill="1" applyBorder="1" applyAlignment="1">
      <alignment horizontal="center"/>
    </xf>
    <xf numFmtId="17" fontId="3" fillId="0" borderId="54" xfId="0" applyNumberFormat="1" applyFont="1" applyBorder="1" applyAlignment="1">
      <alignment horizontal="center"/>
    </xf>
    <xf numFmtId="39" fontId="3" fillId="0" borderId="5" xfId="0" applyNumberFormat="1" applyFont="1" applyBorder="1" applyAlignment="1">
      <alignment horizontal="center"/>
    </xf>
    <xf numFmtId="39" fontId="3" fillId="0" borderId="6" xfId="0" applyNumberFormat="1" applyFont="1" applyBorder="1" applyAlignment="1">
      <alignment horizontal="center"/>
    </xf>
    <xf numFmtId="39" fontId="3" fillId="0" borderId="7" xfId="0" applyNumberFormat="1" applyFont="1" applyBorder="1" applyAlignment="1">
      <alignment horizontal="center"/>
    </xf>
    <xf numFmtId="39" fontId="3" fillId="0" borderId="2" xfId="0" applyNumberFormat="1" applyFont="1" applyBorder="1" applyAlignment="1">
      <alignment horizontal="center"/>
    </xf>
    <xf numFmtId="39" fontId="3" fillId="0" borderId="8" xfId="0" applyNumberFormat="1" applyFont="1" applyBorder="1" applyAlignment="1">
      <alignment horizontal="center"/>
    </xf>
    <xf numFmtId="39" fontId="3" fillId="0" borderId="21" xfId="0" applyNumberFormat="1" applyFont="1" applyBorder="1" applyAlignment="1">
      <alignment horizontal="center"/>
    </xf>
    <xf numFmtId="39" fontId="3" fillId="0" borderId="0" xfId="0" applyNumberFormat="1" applyFont="1"/>
    <xf numFmtId="17" fontId="3" fillId="0" borderId="55" xfId="0" applyNumberFormat="1" applyFont="1" applyBorder="1" applyAlignment="1">
      <alignment horizontal="center"/>
    </xf>
    <xf numFmtId="39" fontId="3" fillId="0" borderId="1" xfId="0" applyNumberFormat="1" applyFont="1" applyBorder="1" applyAlignment="1">
      <alignment horizontal="center"/>
    </xf>
    <xf numFmtId="39" fontId="3" fillId="0" borderId="55" xfId="0" applyNumberFormat="1" applyFont="1" applyBorder="1" applyAlignment="1">
      <alignment horizontal="center"/>
    </xf>
    <xf numFmtId="39" fontId="3" fillId="0" borderId="16" xfId="0" applyNumberFormat="1" applyFont="1" applyBorder="1" applyAlignment="1">
      <alignment horizontal="center"/>
    </xf>
    <xf numFmtId="3" fontId="3" fillId="0" borderId="0" xfId="0" applyNumberFormat="1" applyFont="1" applyFill="1" applyBorder="1" applyAlignment="1">
      <alignment horizontal="center" vertical="center"/>
    </xf>
    <xf numFmtId="37" fontId="3" fillId="0" borderId="32" xfId="0" applyNumberFormat="1" applyFont="1" applyFill="1" applyBorder="1" applyAlignment="1">
      <alignment horizontal="center" vertical="center"/>
    </xf>
    <xf numFmtId="37" fontId="3" fillId="0" borderId="0" xfId="0" applyNumberFormat="1" applyFont="1" applyFill="1" applyBorder="1" applyAlignment="1">
      <alignment horizontal="center" vertical="center"/>
    </xf>
    <xf numFmtId="3" fontId="3" fillId="0" borderId="41" xfId="0" applyNumberFormat="1" applyFont="1" applyFill="1" applyBorder="1" applyAlignment="1">
      <alignment horizontal="center" vertical="center"/>
    </xf>
    <xf numFmtId="39" fontId="3" fillId="0" borderId="41" xfId="0" applyNumberFormat="1" applyFont="1" applyFill="1" applyBorder="1" applyAlignment="1">
      <alignment horizontal="center" vertical="center"/>
    </xf>
    <xf numFmtId="17" fontId="3" fillId="0" borderId="31" xfId="0" applyNumberFormat="1" applyFont="1" applyFill="1" applyBorder="1" applyAlignment="1">
      <alignment horizontal="center" vertical="center"/>
    </xf>
    <xf numFmtId="3" fontId="3" fillId="0" borderId="32" xfId="0" applyNumberFormat="1" applyFont="1" applyFill="1" applyBorder="1" applyAlignment="1">
      <alignment horizontal="center" vertical="center"/>
    </xf>
    <xf numFmtId="4" fontId="3" fillId="0" borderId="32" xfId="0" applyNumberFormat="1" applyFont="1" applyFill="1" applyBorder="1" applyAlignment="1">
      <alignment horizontal="center" vertical="center"/>
    </xf>
    <xf numFmtId="39" fontId="3" fillId="0" borderId="0" xfId="0" applyNumberFormat="1" applyFont="1" applyFill="1" applyBorder="1"/>
    <xf numFmtId="17" fontId="3" fillId="0" borderId="55" xfId="0" applyNumberFormat="1" applyFont="1" applyFill="1" applyBorder="1" applyAlignment="1">
      <alignment horizontal="center"/>
    </xf>
    <xf numFmtId="39" fontId="3" fillId="0" borderId="1" xfId="0" applyNumberFormat="1" applyFont="1" applyFill="1" applyBorder="1" applyAlignment="1">
      <alignment horizontal="center"/>
    </xf>
    <xf numFmtId="39" fontId="3" fillId="0" borderId="16" xfId="0" applyNumberFormat="1" applyFont="1" applyFill="1" applyBorder="1" applyAlignment="1">
      <alignment horizontal="center"/>
    </xf>
    <xf numFmtId="39" fontId="3" fillId="0" borderId="55" xfId="0" applyNumberFormat="1" applyFont="1" applyFill="1" applyBorder="1" applyAlignment="1">
      <alignment horizontal="center"/>
    </xf>
    <xf numFmtId="39" fontId="3" fillId="0" borderId="0" xfId="0" applyNumberFormat="1" applyFont="1" applyFill="1"/>
    <xf numFmtId="17" fontId="3" fillId="0" borderId="49" xfId="0" applyNumberFormat="1" applyFont="1" applyBorder="1" applyAlignment="1">
      <alignment horizontal="center"/>
    </xf>
    <xf numFmtId="39" fontId="3" fillId="0" borderId="50" xfId="0" applyNumberFormat="1" applyFont="1" applyBorder="1" applyAlignment="1">
      <alignment horizontal="center"/>
    </xf>
    <xf numFmtId="39" fontId="3" fillId="0" borderId="52" xfId="0" applyNumberFormat="1" applyFont="1" applyBorder="1" applyAlignment="1">
      <alignment horizontal="center"/>
    </xf>
    <xf numFmtId="39" fontId="3" fillId="0" borderId="49" xfId="0" applyNumberFormat="1" applyFont="1" applyBorder="1" applyAlignment="1">
      <alignment horizontal="center"/>
    </xf>
    <xf numFmtId="0" fontId="2" fillId="0" borderId="0" xfId="0" applyFont="1"/>
    <xf numFmtId="17" fontId="3" fillId="0" borderId="31" xfId="0" applyNumberFormat="1" applyFont="1" applyBorder="1" applyAlignment="1">
      <alignment horizontal="center" vertical="center" wrapText="1"/>
    </xf>
    <xf numFmtId="39" fontId="3" fillId="0" borderId="54" xfId="0" applyNumberFormat="1" applyFont="1" applyBorder="1" applyAlignment="1">
      <alignment horizontal="center"/>
    </xf>
    <xf numFmtId="39" fontId="3" fillId="0" borderId="12" xfId="0" applyNumberFormat="1" applyFont="1" applyBorder="1" applyAlignment="1">
      <alignment horizontal="center"/>
    </xf>
    <xf numFmtId="17" fontId="3" fillId="0" borderId="28" xfId="0" applyNumberFormat="1" applyFont="1" applyBorder="1" applyAlignment="1">
      <alignment horizontal="center" vertical="center" wrapText="1"/>
    </xf>
    <xf numFmtId="3" fontId="3" fillId="0" borderId="35" xfId="0" applyNumberFormat="1" applyFont="1" applyBorder="1" applyAlignment="1">
      <alignment horizontal="center" vertical="center"/>
    </xf>
    <xf numFmtId="37" fontId="3" fillId="0" borderId="30" xfId="0" applyNumberFormat="1" applyFont="1" applyBorder="1" applyAlignment="1">
      <alignment horizontal="center" vertical="center"/>
    </xf>
    <xf numFmtId="37" fontId="3" fillId="0" borderId="35" xfId="0" applyNumberFormat="1" applyFont="1" applyBorder="1" applyAlignment="1">
      <alignment horizontal="center" vertical="center"/>
    </xf>
    <xf numFmtId="3" fontId="3" fillId="0" borderId="42" xfId="0" applyNumberFormat="1" applyFont="1" applyBorder="1" applyAlignment="1">
      <alignment horizontal="center" vertical="center"/>
    </xf>
    <xf numFmtId="39" fontId="3" fillId="0" borderId="42" xfId="0" applyNumberFormat="1" applyFont="1" applyBorder="1" applyAlignment="1">
      <alignment horizontal="center" vertical="center"/>
    </xf>
    <xf numFmtId="3" fontId="3" fillId="0" borderId="30" xfId="0" applyNumberFormat="1" applyFont="1" applyBorder="1" applyAlignment="1">
      <alignment horizontal="center" vertical="center"/>
    </xf>
    <xf numFmtId="4" fontId="3" fillId="0" borderId="30" xfId="0" applyNumberFormat="1" applyFont="1" applyBorder="1" applyAlignment="1">
      <alignment horizontal="center" vertical="center"/>
    </xf>
    <xf numFmtId="17" fontId="3" fillId="0" borderId="44" xfId="0" applyNumberFormat="1" applyFont="1" applyFill="1" applyBorder="1" applyAlignment="1">
      <alignment horizontal="center" vertical="center"/>
    </xf>
    <xf numFmtId="4" fontId="3" fillId="0" borderId="39" xfId="0" applyNumberFormat="1" applyFont="1" applyFill="1" applyBorder="1" applyAlignment="1">
      <alignment horizontal="center" vertical="center"/>
    </xf>
    <xf numFmtId="4" fontId="3" fillId="0" borderId="35" xfId="0" applyNumberFormat="1" applyFont="1" applyFill="1" applyBorder="1" applyAlignment="1">
      <alignment horizontal="center" vertical="center"/>
    </xf>
    <xf numFmtId="4" fontId="3" fillId="0" borderId="37" xfId="0" applyNumberFormat="1" applyFont="1" applyFill="1" applyBorder="1" applyAlignment="1">
      <alignment horizontal="center" vertical="center"/>
    </xf>
    <xf numFmtId="4" fontId="3" fillId="0" borderId="29" xfId="0" applyNumberFormat="1" applyFont="1" applyFill="1" applyBorder="1" applyAlignment="1">
      <alignment horizontal="center" vertical="center"/>
    </xf>
    <xf numFmtId="4" fontId="3" fillId="0" borderId="30" xfId="0" applyNumberFormat="1" applyFont="1" applyFill="1" applyBorder="1" applyAlignment="1">
      <alignment horizontal="center" vertical="center"/>
    </xf>
    <xf numFmtId="17" fontId="3" fillId="0" borderId="51" xfId="0" applyNumberFormat="1" applyFont="1" applyBorder="1" applyAlignment="1">
      <alignment horizontal="center"/>
    </xf>
    <xf numFmtId="39" fontId="3" fillId="0" borderId="19" xfId="0" applyNumberFormat="1" applyFont="1" applyBorder="1" applyAlignment="1">
      <alignment horizontal="center"/>
    </xf>
    <xf numFmtId="39" fontId="3" fillId="0" borderId="20" xfId="0" applyNumberFormat="1" applyFont="1" applyBorder="1" applyAlignment="1">
      <alignment horizontal="center"/>
    </xf>
    <xf numFmtId="39" fontId="3" fillId="0" borderId="51" xfId="0" applyNumberFormat="1" applyFont="1" applyBorder="1" applyAlignment="1">
      <alignment horizontal="center"/>
    </xf>
    <xf numFmtId="39" fontId="3" fillId="0" borderId="17" xfId="0" applyNumberFormat="1" applyFont="1" applyBorder="1" applyAlignment="1">
      <alignment horizontal="center"/>
    </xf>
    <xf numFmtId="3" fontId="3" fillId="0" borderId="0" xfId="0" applyNumberFormat="1" applyFont="1" applyAlignment="1">
      <alignment horizontal="center"/>
    </xf>
    <xf numFmtId="168" fontId="3" fillId="0" borderId="0" xfId="0" applyNumberFormat="1" applyFont="1" applyAlignment="1">
      <alignment horizontal="center"/>
    </xf>
    <xf numFmtId="37" fontId="3" fillId="0" borderId="0" xfId="0" applyNumberFormat="1" applyFont="1" applyAlignment="1">
      <alignment horizontal="center"/>
    </xf>
    <xf numFmtId="17" fontId="3" fillId="0" borderId="0" xfId="0" applyNumberFormat="1" applyFont="1"/>
    <xf numFmtId="3" fontId="3" fillId="0" borderId="0" xfId="0" applyNumberFormat="1" applyFont="1"/>
    <xf numFmtId="40" fontId="3" fillId="0" borderId="0" xfId="0" applyNumberFormat="1" applyFont="1" applyAlignment="1">
      <alignment horizontal="center"/>
    </xf>
    <xf numFmtId="4" fontId="3" fillId="0" borderId="0" xfId="0" applyNumberFormat="1" applyFont="1"/>
    <xf numFmtId="3" fontId="3" fillId="0" borderId="23" xfId="0" applyNumberFormat="1" applyFont="1" applyFill="1" applyBorder="1" applyAlignment="1">
      <alignment horizontal="center"/>
    </xf>
    <xf numFmtId="3" fontId="3" fillId="0" borderId="0" xfId="0" applyNumberFormat="1" applyFont="1" applyFill="1"/>
    <xf numFmtId="10" fontId="3" fillId="0" borderId="0" xfId="0" applyNumberFormat="1" applyFont="1" applyFill="1"/>
    <xf numFmtId="37" fontId="3" fillId="0" borderId="36" xfId="0" applyNumberFormat="1" applyFont="1" applyBorder="1" applyAlignment="1">
      <alignment horizontal="center"/>
    </xf>
    <xf numFmtId="14" fontId="3" fillId="0" borderId="0" xfId="0" applyNumberFormat="1" applyFont="1" applyAlignment="1">
      <alignment horizontal="center"/>
    </xf>
    <xf numFmtId="17" fontId="1" fillId="0" borderId="0" xfId="0" applyNumberFormat="1" applyFont="1" applyAlignment="1">
      <alignment horizontal="center"/>
    </xf>
    <xf numFmtId="4" fontId="3" fillId="0" borderId="35" xfId="0" applyNumberFormat="1" applyFont="1" applyBorder="1" applyAlignment="1">
      <alignment horizontal="center" vertical="center"/>
    </xf>
    <xf numFmtId="0" fontId="1" fillId="0" borderId="0" xfId="0" applyFont="1" applyFill="1" applyAlignment="1">
      <alignment horizontal="center"/>
    </xf>
    <xf numFmtId="171" fontId="3" fillId="0" borderId="0" xfId="0" applyNumberFormat="1" applyFont="1" applyFill="1"/>
    <xf numFmtId="39" fontId="1" fillId="0" borderId="0" xfId="0" applyNumberFormat="1" applyFont="1" applyAlignment="1">
      <alignment horizontal="center"/>
    </xf>
    <xf numFmtId="170" fontId="3" fillId="0" borderId="0" xfId="0" applyNumberFormat="1" applyFont="1" applyFill="1"/>
    <xf numFmtId="37" fontId="3" fillId="0" borderId="37" xfId="0" applyNumberFormat="1" applyFont="1" applyBorder="1" applyAlignment="1">
      <alignment horizontal="center"/>
    </xf>
    <xf numFmtId="172" fontId="3" fillId="0" borderId="0" xfId="0" applyNumberFormat="1" applyFont="1" applyAlignment="1">
      <alignment horizontal="center"/>
    </xf>
    <xf numFmtId="40" fontId="3" fillId="0" borderId="0" xfId="0" applyNumberFormat="1" applyFont="1"/>
    <xf numFmtId="39" fontId="9" fillId="0" borderId="0" xfId="0" applyNumberFormat="1" applyFont="1" applyAlignment="1">
      <alignment horizontal="center"/>
    </xf>
    <xf numFmtId="39" fontId="11" fillId="0" borderId="0" xfId="0" applyNumberFormat="1" applyFont="1" applyAlignment="1">
      <alignment horizontal="center"/>
    </xf>
    <xf numFmtId="167" fontId="3" fillId="0" borderId="0" xfId="0" applyNumberFormat="1" applyFont="1"/>
    <xf numFmtId="37" fontId="16" fillId="0" borderId="23" xfId="0" applyNumberFormat="1" applyFont="1" applyFill="1" applyBorder="1" applyAlignment="1">
      <alignment horizontal="center"/>
    </xf>
    <xf numFmtId="175" fontId="3" fillId="0" borderId="0" xfId="0" applyNumberFormat="1" applyFont="1" applyAlignment="1">
      <alignment horizontal="center"/>
    </xf>
    <xf numFmtId="37" fontId="16" fillId="0" borderId="36" xfId="0" applyNumberFormat="1" applyFont="1" applyFill="1" applyBorder="1" applyAlignment="1">
      <alignment horizontal="center"/>
    </xf>
    <xf numFmtId="37" fontId="16" fillId="0" borderId="2" xfId="0" applyNumberFormat="1" applyFont="1" applyFill="1" applyBorder="1" applyAlignment="1">
      <alignment horizontal="center"/>
    </xf>
    <xf numFmtId="2" fontId="3" fillId="0" borderId="0" xfId="0" applyNumberFormat="1" applyFont="1" applyAlignment="1">
      <alignment horizontal="center"/>
    </xf>
    <xf numFmtId="164" fontId="3" fillId="0" borderId="0" xfId="0" applyNumberFormat="1" applyFont="1"/>
    <xf numFmtId="39" fontId="12" fillId="0" borderId="0" xfId="0" applyNumberFormat="1" applyFont="1" applyAlignment="1">
      <alignment horizontal="center"/>
    </xf>
    <xf numFmtId="43" fontId="3" fillId="0" borderId="0" xfId="0" applyNumberFormat="1" applyFont="1"/>
    <xf numFmtId="9" fontId="3" fillId="0" borderId="0" xfId="0" applyNumberFormat="1" applyFont="1" applyBorder="1" applyAlignment="1">
      <alignment horizontal="center"/>
    </xf>
    <xf numFmtId="174" fontId="3" fillId="0" borderId="0" xfId="0" applyNumberFormat="1" applyFont="1" applyAlignment="1">
      <alignment horizontal="center"/>
    </xf>
    <xf numFmtId="174" fontId="3" fillId="0" borderId="0" xfId="0" applyNumberFormat="1" applyFont="1" applyBorder="1" applyAlignment="1">
      <alignment horizontal="center"/>
    </xf>
    <xf numFmtId="38" fontId="3" fillId="0" borderId="0" xfId="0" applyNumberFormat="1" applyFont="1" applyBorder="1" applyAlignment="1">
      <alignment horizontal="center"/>
    </xf>
    <xf numFmtId="17" fontId="3" fillId="0" borderId="0" xfId="0" applyNumberFormat="1" applyFont="1" applyBorder="1" applyAlignment="1">
      <alignment horizontal="center"/>
    </xf>
    <xf numFmtId="164" fontId="3" fillId="0" borderId="0" xfId="0" applyNumberFormat="1" applyFont="1" applyBorder="1" applyAlignment="1">
      <alignment horizontal="center"/>
    </xf>
    <xf numFmtId="164" fontId="3" fillId="0" borderId="0" xfId="0" applyNumberFormat="1" applyFont="1" applyAlignment="1">
      <alignment horizontal="center"/>
    </xf>
    <xf numFmtId="164" fontId="13" fillId="0" borderId="0" xfId="0" applyNumberFormat="1" applyFont="1" applyBorder="1" applyAlignment="1">
      <alignment horizontal="center"/>
    </xf>
    <xf numFmtId="164" fontId="3" fillId="0" borderId="0" xfId="0" applyNumberFormat="1" applyFont="1" applyFill="1" applyAlignment="1">
      <alignment horizontal="center"/>
    </xf>
    <xf numFmtId="164" fontId="3" fillId="0" borderId="0" xfId="0" applyNumberFormat="1" applyFont="1" applyFill="1"/>
    <xf numFmtId="168" fontId="3" fillId="0" borderId="0" xfId="0" applyNumberFormat="1" applyFont="1" applyBorder="1" applyAlignment="1">
      <alignment horizontal="center"/>
    </xf>
    <xf numFmtId="0" fontId="3" fillId="0" borderId="38"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4" fontId="3" fillId="0" borderId="38" xfId="0" applyNumberFormat="1" applyFont="1" applyFill="1" applyBorder="1" applyAlignment="1">
      <alignment horizontal="center"/>
    </xf>
    <xf numFmtId="39" fontId="3" fillId="0" borderId="25" xfId="0" applyNumberFormat="1" applyFont="1" applyBorder="1" applyAlignment="1">
      <alignment horizontal="center"/>
    </xf>
    <xf numFmtId="39" fontId="3" fillId="0" borderId="26" xfId="0" applyNumberFormat="1" applyFont="1" applyBorder="1" applyAlignment="1">
      <alignment horizontal="center"/>
    </xf>
    <xf numFmtId="39" fontId="3" fillId="0" borderId="0" xfId="0" applyNumberFormat="1" applyFont="1" applyBorder="1" applyAlignment="1">
      <alignment horizontal="center"/>
    </xf>
    <xf numFmtId="39" fontId="3" fillId="0" borderId="36" xfId="0" applyNumberFormat="1" applyFont="1" applyBorder="1" applyAlignment="1">
      <alignment horizontal="center"/>
    </xf>
    <xf numFmtId="39" fontId="3" fillId="0" borderId="32" xfId="0" applyNumberFormat="1" applyFont="1" applyBorder="1" applyAlignment="1">
      <alignment horizontal="center"/>
    </xf>
    <xf numFmtId="39" fontId="3" fillId="0" borderId="31" xfId="0" applyNumberFormat="1" applyFont="1" applyBorder="1" applyAlignment="1">
      <alignment horizontal="center"/>
    </xf>
    <xf numFmtId="4" fontId="3" fillId="2" borderId="23" xfId="0" applyNumberFormat="1" applyFont="1" applyFill="1" applyBorder="1" applyAlignment="1">
      <alignment horizontal="center"/>
    </xf>
    <xf numFmtId="4" fontId="3" fillId="2" borderId="32" xfId="0" applyNumberFormat="1" applyFont="1" applyFill="1" applyBorder="1" applyAlignment="1">
      <alignment horizontal="center"/>
    </xf>
    <xf numFmtId="17" fontId="3" fillId="2" borderId="22" xfId="0" applyNumberFormat="1" applyFont="1" applyFill="1" applyBorder="1" applyAlignment="1">
      <alignment horizontal="center"/>
    </xf>
    <xf numFmtId="4" fontId="3" fillId="2" borderId="53" xfId="0" applyNumberFormat="1" applyFont="1" applyFill="1" applyBorder="1" applyAlignment="1">
      <alignment horizontal="center"/>
    </xf>
    <xf numFmtId="4" fontId="3" fillId="2" borderId="0" xfId="0" applyNumberFormat="1" applyFont="1" applyFill="1" applyBorder="1" applyAlignment="1">
      <alignment horizontal="center"/>
    </xf>
    <xf numFmtId="4" fontId="3" fillId="2" borderId="36" xfId="0" applyNumberFormat="1" applyFont="1" applyFill="1" applyBorder="1" applyAlignment="1">
      <alignment horizontal="center"/>
    </xf>
    <xf numFmtId="39" fontId="3" fillId="0" borderId="0" xfId="0" applyNumberFormat="1" applyFont="1" applyFill="1" applyBorder="1" applyAlignment="1">
      <alignment horizontal="center"/>
    </xf>
    <xf numFmtId="39" fontId="3" fillId="0" borderId="32" xfId="0" applyNumberFormat="1" applyFont="1" applyFill="1" applyBorder="1" applyAlignment="1">
      <alignment horizontal="center"/>
    </xf>
    <xf numFmtId="39" fontId="3" fillId="0" borderId="36" xfId="0" applyNumberFormat="1" applyFont="1" applyFill="1" applyBorder="1" applyAlignment="1">
      <alignment horizontal="center"/>
    </xf>
    <xf numFmtId="39" fontId="3" fillId="0" borderId="31" xfId="0" applyNumberFormat="1" applyFont="1" applyFill="1" applyBorder="1" applyAlignment="1">
      <alignment horizontal="center"/>
    </xf>
    <xf numFmtId="17" fontId="3" fillId="0" borderId="7" xfId="0" applyNumberFormat="1" applyFont="1" applyBorder="1" applyAlignment="1">
      <alignment horizontal="center"/>
    </xf>
    <xf numFmtId="39" fontId="3" fillId="0" borderId="33" xfId="0" applyNumberFormat="1" applyFont="1" applyBorder="1" applyAlignment="1">
      <alignment horizontal="center"/>
    </xf>
    <xf numFmtId="39" fontId="3" fillId="0" borderId="34" xfId="0" applyNumberFormat="1" applyFont="1" applyBorder="1" applyAlignment="1">
      <alignment horizontal="center"/>
    </xf>
    <xf numFmtId="39" fontId="3" fillId="0" borderId="9" xfId="0" applyNumberFormat="1" applyFont="1" applyBorder="1" applyAlignment="1">
      <alignment horizontal="center"/>
    </xf>
    <xf numFmtId="39" fontId="3" fillId="0" borderId="56" xfId="0" applyNumberFormat="1" applyFont="1" applyBorder="1" applyAlignment="1">
      <alignment horizontal="center"/>
    </xf>
    <xf numFmtId="39" fontId="3" fillId="0" borderId="28" xfId="0" applyNumberFormat="1" applyFont="1" applyBorder="1" applyAlignment="1">
      <alignment horizontal="center"/>
    </xf>
    <xf numFmtId="39" fontId="3" fillId="0" borderId="35" xfId="0" applyNumberFormat="1" applyFont="1" applyBorder="1" applyAlignment="1">
      <alignment horizontal="center"/>
    </xf>
    <xf numFmtId="39" fontId="3" fillId="0" borderId="30" xfId="0" applyNumberFormat="1" applyFont="1" applyBorder="1" applyAlignment="1">
      <alignment horizontal="center"/>
    </xf>
    <xf numFmtId="39" fontId="3" fillId="0" borderId="24" xfId="0" applyNumberFormat="1" applyFont="1" applyBorder="1" applyAlignment="1">
      <alignment horizontal="center"/>
    </xf>
    <xf numFmtId="39" fontId="3" fillId="0" borderId="37" xfId="0" applyNumberFormat="1" applyFont="1" applyBorder="1" applyAlignment="1">
      <alignment horizontal="center"/>
    </xf>
    <xf numFmtId="39" fontId="3" fillId="0" borderId="39" xfId="0" applyNumberFormat="1" applyFont="1" applyBorder="1" applyAlignment="1">
      <alignment horizontal="center"/>
    </xf>
    <xf numFmtId="39" fontId="3" fillId="0" borderId="0" xfId="0" applyNumberFormat="1" applyFont="1" applyAlignment="1">
      <alignment horizontal="left"/>
    </xf>
    <xf numFmtId="37" fontId="14" fillId="0" borderId="0" xfId="0" applyNumberFormat="1" applyFont="1" applyAlignment="1">
      <alignment horizontal="center"/>
    </xf>
    <xf numFmtId="38" fontId="3" fillId="0" borderId="0" xfId="0" applyNumberFormat="1" applyFont="1" applyAlignment="1">
      <alignment horizontal="center"/>
    </xf>
    <xf numFmtId="3" fontId="3" fillId="2" borderId="0" xfId="0" applyNumberFormat="1" applyFont="1" applyFill="1" applyBorder="1" applyAlignment="1">
      <alignment horizontal="center" vertical="center"/>
    </xf>
    <xf numFmtId="3" fontId="3" fillId="2" borderId="32" xfId="0" applyNumberFormat="1" applyFont="1" applyFill="1" applyBorder="1" applyAlignment="1">
      <alignment horizontal="center" vertical="center"/>
    </xf>
    <xf numFmtId="39" fontId="9" fillId="0" borderId="0" xfId="0" applyNumberFormat="1" applyFont="1" applyBorder="1" applyAlignment="1">
      <alignment horizontal="center"/>
    </xf>
    <xf numFmtId="39" fontId="11" fillId="0" borderId="33" xfId="0" applyNumberFormat="1" applyFont="1" applyBorder="1" applyAlignment="1">
      <alignment horizontal="center"/>
    </xf>
    <xf numFmtId="37" fontId="16" fillId="0" borderId="50" xfId="0" applyNumberFormat="1" applyFont="1" applyFill="1" applyBorder="1" applyAlignment="1">
      <alignment horizontal="center"/>
    </xf>
    <xf numFmtId="37" fontId="15" fillId="0" borderId="23" xfId="0" applyNumberFormat="1" applyFont="1" applyFill="1" applyBorder="1" applyAlignment="1">
      <alignment horizontal="center"/>
    </xf>
    <xf numFmtId="37" fontId="13" fillId="5" borderId="23" xfId="0" applyNumberFormat="1" applyFont="1" applyFill="1" applyBorder="1" applyAlignment="1">
      <alignment horizontal="center"/>
    </xf>
    <xf numFmtId="37" fontId="15" fillId="0" borderId="36" xfId="0" applyNumberFormat="1" applyFont="1" applyFill="1" applyBorder="1" applyAlignment="1">
      <alignment horizontal="center"/>
    </xf>
    <xf numFmtId="37" fontId="13" fillId="0" borderId="36" xfId="0" applyNumberFormat="1" applyFont="1" applyFill="1" applyBorder="1" applyAlignment="1">
      <alignment horizontal="center"/>
    </xf>
    <xf numFmtId="37" fontId="13" fillId="5" borderId="36" xfId="0" applyNumberFormat="1" applyFont="1" applyFill="1" applyBorder="1" applyAlignment="1">
      <alignment horizontal="center"/>
    </xf>
    <xf numFmtId="37" fontId="15" fillId="0" borderId="2" xfId="0" applyNumberFormat="1" applyFont="1" applyFill="1" applyBorder="1" applyAlignment="1">
      <alignment horizontal="center"/>
    </xf>
    <xf numFmtId="37" fontId="13" fillId="5" borderId="2" xfId="0" applyNumberFormat="1" applyFont="1" applyFill="1" applyBorder="1" applyAlignment="1">
      <alignment horizontal="center"/>
    </xf>
    <xf numFmtId="0" fontId="3" fillId="0" borderId="0" xfId="0" applyFont="1" applyAlignment="1">
      <alignment horizontal="center" vertical="center"/>
    </xf>
    <xf numFmtId="4" fontId="3" fillId="0" borderId="0" xfId="0" applyNumberFormat="1" applyFont="1" applyAlignment="1">
      <alignment horizontal="center" vertical="center"/>
    </xf>
    <xf numFmtId="17" fontId="3" fillId="0" borderId="0" xfId="0" applyNumberFormat="1" applyFont="1" applyAlignment="1">
      <alignment horizontal="center" vertical="center"/>
    </xf>
    <xf numFmtId="3" fontId="3" fillId="0" borderId="0" xfId="0" applyNumberFormat="1" applyFont="1" applyAlignment="1">
      <alignment horizontal="center" vertical="center"/>
    </xf>
    <xf numFmtId="2" fontId="3" fillId="0" borderId="0" xfId="0" applyNumberFormat="1" applyFont="1" applyBorder="1" applyAlignment="1">
      <alignment horizontal="center"/>
    </xf>
    <xf numFmtId="38"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2" fontId="3" fillId="2" borderId="0" xfId="0" applyNumberFormat="1" applyFont="1" applyFill="1" applyBorder="1" applyAlignment="1">
      <alignment horizontal="center"/>
    </xf>
    <xf numFmtId="0" fontId="17" fillId="0" borderId="58" xfId="0" applyFont="1" applyBorder="1" applyAlignment="1">
      <alignment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9" fontId="18" fillId="0" borderId="20"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10" xfId="0" applyFont="1" applyBorder="1" applyAlignment="1">
      <alignment horizontal="center" vertical="center" wrapText="1"/>
    </xf>
    <xf numFmtId="169" fontId="3" fillId="0" borderId="1" xfId="1" applyNumberFormat="1" applyFont="1" applyFill="1" applyBorder="1" applyAlignment="1">
      <alignment horizontal="center" vertical="center" wrapText="1"/>
    </xf>
    <xf numFmtId="0" fontId="20" fillId="0" borderId="0" xfId="0" applyFont="1" applyAlignment="1">
      <alignment horizontal="center"/>
    </xf>
    <xf numFmtId="169" fontId="20" fillId="0" borderId="0" xfId="0" applyNumberFormat="1" applyFont="1" applyAlignment="1">
      <alignment horizontal="center"/>
    </xf>
    <xf numFmtId="0" fontId="21" fillId="0" borderId="0" xfId="0" applyFont="1" applyAlignment="1">
      <alignment horizontal="center"/>
    </xf>
    <xf numFmtId="2" fontId="20" fillId="0" borderId="0" xfId="0" applyNumberFormat="1" applyFont="1" applyAlignment="1">
      <alignment horizontal="center"/>
    </xf>
    <xf numFmtId="0" fontId="20" fillId="0" borderId="0" xfId="0" applyFont="1" applyAlignment="1">
      <alignment horizontal="left"/>
    </xf>
    <xf numFmtId="0" fontId="21" fillId="7" borderId="43" xfId="0" applyFont="1" applyFill="1" applyBorder="1" applyAlignment="1">
      <alignment horizontal="center" vertical="center" wrapText="1"/>
    </xf>
    <xf numFmtId="17" fontId="1" fillId="7" borderId="27" xfId="2" applyNumberFormat="1" applyFont="1" applyFill="1" applyBorder="1" applyAlignment="1">
      <alignment horizontal="center" vertical="center"/>
    </xf>
    <xf numFmtId="0" fontId="21" fillId="7" borderId="27" xfId="0" applyFont="1" applyFill="1" applyBorder="1" applyAlignment="1">
      <alignment horizontal="center" vertical="center" wrapText="1"/>
    </xf>
    <xf numFmtId="0" fontId="21" fillId="7" borderId="60" xfId="0" applyFont="1" applyFill="1" applyBorder="1" applyAlignment="1">
      <alignment horizontal="center" vertical="center" wrapText="1"/>
    </xf>
    <xf numFmtId="0" fontId="20" fillId="0" borderId="1" xfId="0" applyFont="1" applyBorder="1" applyAlignment="1">
      <alignment horizontal="center"/>
    </xf>
    <xf numFmtId="39" fontId="1" fillId="0" borderId="1" xfId="2" applyNumberFormat="1" applyFont="1" applyBorder="1" applyAlignment="1">
      <alignment horizontal="center"/>
    </xf>
    <xf numFmtId="39" fontId="21" fillId="0" borderId="1" xfId="0" applyNumberFormat="1" applyFont="1" applyBorder="1" applyAlignment="1">
      <alignment horizontal="center"/>
    </xf>
    <xf numFmtId="169" fontId="20" fillId="0" borderId="1" xfId="0" applyNumberFormat="1" applyFont="1" applyBorder="1" applyAlignment="1">
      <alignment horizontal="center"/>
    </xf>
    <xf numFmtId="169" fontId="20" fillId="4" borderId="1" xfId="0" applyNumberFormat="1" applyFont="1" applyFill="1" applyBorder="1" applyAlignment="1">
      <alignment horizontal="center"/>
    </xf>
    <xf numFmtId="10" fontId="20" fillId="0" borderId="1" xfId="0" applyNumberFormat="1" applyFont="1" applyBorder="1" applyAlignment="1">
      <alignment horizontal="center"/>
    </xf>
    <xf numFmtId="0" fontId="20" fillId="0" borderId="54" xfId="0" applyFont="1" applyBorder="1" applyAlignment="1">
      <alignment horizontal="center"/>
    </xf>
    <xf numFmtId="39" fontId="1" fillId="0" borderId="5" xfId="2" applyNumberFormat="1" applyFont="1" applyBorder="1" applyAlignment="1">
      <alignment horizontal="center"/>
    </xf>
    <xf numFmtId="39" fontId="21" fillId="0" borderId="5" xfId="0" applyNumberFormat="1" applyFont="1" applyBorder="1" applyAlignment="1">
      <alignment horizontal="center"/>
    </xf>
    <xf numFmtId="0" fontId="20" fillId="0" borderId="5" xfId="0" applyFont="1" applyBorder="1" applyAlignment="1">
      <alignment horizontal="center"/>
    </xf>
    <xf numFmtId="169" fontId="20" fillId="0" borderId="5" xfId="0" applyNumberFormat="1" applyFont="1" applyBorder="1" applyAlignment="1">
      <alignment horizontal="center"/>
    </xf>
    <xf numFmtId="169" fontId="20" fillId="4" borderId="5" xfId="0" applyNumberFormat="1" applyFont="1" applyFill="1" applyBorder="1" applyAlignment="1">
      <alignment horizontal="center"/>
    </xf>
    <xf numFmtId="0" fontId="20" fillId="0" borderId="6" xfId="0" applyFont="1" applyBorder="1" applyAlignment="1">
      <alignment horizontal="center"/>
    </xf>
    <xf numFmtId="0" fontId="20" fillId="0" borderId="55" xfId="0" applyFont="1" applyBorder="1" applyAlignment="1">
      <alignment horizontal="center"/>
    </xf>
    <xf numFmtId="0" fontId="20" fillId="0" borderId="16" xfId="0" applyFont="1" applyBorder="1" applyAlignment="1">
      <alignment horizontal="center"/>
    </xf>
    <xf numFmtId="0" fontId="20" fillId="0" borderId="51" xfId="0" applyFont="1" applyBorder="1" applyAlignment="1">
      <alignment horizontal="center"/>
    </xf>
    <xf numFmtId="39" fontId="1" fillId="0" borderId="19" xfId="2" applyNumberFormat="1" applyFont="1" applyBorder="1" applyAlignment="1">
      <alignment horizontal="center"/>
    </xf>
    <xf numFmtId="39" fontId="21" fillId="0" borderId="19" xfId="0" applyNumberFormat="1" applyFont="1" applyBorder="1" applyAlignment="1">
      <alignment horizontal="center"/>
    </xf>
    <xf numFmtId="0" fontId="20" fillId="0" borderId="19" xfId="0" applyFont="1" applyBorder="1" applyAlignment="1">
      <alignment horizontal="center"/>
    </xf>
    <xf numFmtId="169" fontId="20" fillId="0" borderId="19" xfId="0" applyNumberFormat="1" applyFont="1" applyBorder="1" applyAlignment="1">
      <alignment horizontal="center"/>
    </xf>
    <xf numFmtId="0" fontId="20" fillId="0" borderId="20" xfId="0" applyFont="1" applyBorder="1" applyAlignment="1">
      <alignment horizontal="center"/>
    </xf>
    <xf numFmtId="169" fontId="20" fillId="4" borderId="1" xfId="1" applyNumberFormat="1" applyFont="1" applyFill="1" applyBorder="1" applyAlignment="1">
      <alignment horizontal="center"/>
    </xf>
    <xf numFmtId="2" fontId="20" fillId="0" borderId="1" xfId="0" applyNumberFormat="1" applyFont="1" applyBorder="1" applyAlignment="1">
      <alignment horizontal="center"/>
    </xf>
    <xf numFmtId="0" fontId="0" fillId="0" borderId="0" xfId="0" applyBorder="1" applyAlignment="1">
      <alignment horizontal="center"/>
    </xf>
    <xf numFmtId="169" fontId="20" fillId="4" borderId="19" xfId="1" applyNumberFormat="1" applyFont="1" applyFill="1" applyBorder="1" applyAlignment="1">
      <alignment horizontal="center"/>
    </xf>
    <xf numFmtId="169" fontId="20" fillId="4" borderId="5" xfId="1" applyNumberFormat="1" applyFont="1" applyFill="1" applyBorder="1" applyAlignment="1">
      <alignment horizontal="center"/>
    </xf>
    <xf numFmtId="0" fontId="21" fillId="0" borderId="27" xfId="0" applyFont="1" applyFill="1" applyBorder="1" applyAlignment="1">
      <alignment horizontal="center" vertical="center" wrapText="1"/>
    </xf>
    <xf numFmtId="0" fontId="20" fillId="7" borderId="54" xfId="0" applyFont="1" applyFill="1" applyBorder="1" applyAlignment="1">
      <alignment horizontal="center"/>
    </xf>
    <xf numFmtId="17" fontId="1" fillId="7" borderId="5" xfId="2" applyNumberFormat="1" applyFont="1" applyFill="1" applyBorder="1" applyAlignment="1">
      <alignment horizontal="center"/>
    </xf>
    <xf numFmtId="0" fontId="20" fillId="7" borderId="5" xfId="0" applyFont="1" applyFill="1" applyBorder="1" applyAlignment="1">
      <alignment horizontal="center"/>
    </xf>
    <xf numFmtId="169" fontId="20" fillId="7" borderId="5" xfId="0" applyNumberFormat="1" applyFont="1" applyFill="1" applyBorder="1" applyAlignment="1">
      <alignment horizontal="center"/>
    </xf>
    <xf numFmtId="0" fontId="20" fillId="7" borderId="6" xfId="0" applyFont="1" applyFill="1" applyBorder="1" applyAlignment="1">
      <alignment horizontal="center"/>
    </xf>
    <xf numFmtId="0" fontId="21" fillId="7" borderId="54" xfId="0" applyFont="1" applyFill="1" applyBorder="1" applyAlignment="1">
      <alignment horizontal="center"/>
    </xf>
    <xf numFmtId="0" fontId="21" fillId="0" borderId="60" xfId="0" applyFont="1" applyFill="1" applyBorder="1" applyAlignment="1">
      <alignment horizontal="center" vertical="center" wrapText="1"/>
    </xf>
    <xf numFmtId="2" fontId="20" fillId="7" borderId="5" xfId="0" applyNumberFormat="1" applyFont="1" applyFill="1" applyBorder="1" applyAlignment="1">
      <alignment horizontal="center"/>
    </xf>
    <xf numFmtId="10" fontId="20" fillId="4" borderId="19" xfId="1" applyNumberFormat="1" applyFont="1" applyFill="1" applyBorder="1" applyAlignment="1">
      <alignment horizontal="center"/>
    </xf>
    <xf numFmtId="167" fontId="20" fillId="2" borderId="16" xfId="0" applyNumberFormat="1" applyFont="1" applyFill="1" applyBorder="1" applyAlignment="1">
      <alignment horizontal="center"/>
    </xf>
    <xf numFmtId="169" fontId="3" fillId="0" borderId="5"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38" fontId="3" fillId="0" borderId="19" xfId="0" applyNumberFormat="1" applyFont="1" applyFill="1" applyBorder="1" applyAlignment="1">
      <alignment horizontal="center" vertical="center" wrapText="1"/>
    </xf>
    <xf numFmtId="0" fontId="0" fillId="0" borderId="0" xfId="0" applyAlignment="1">
      <alignment horizontal="left" indent="2"/>
    </xf>
    <xf numFmtId="16" fontId="23" fillId="0" borderId="0" xfId="0" applyNumberFormat="1" applyFont="1" applyFill="1" applyBorder="1" applyAlignment="1">
      <alignment horizontal="left" vertical="center" wrapText="1"/>
    </xf>
    <xf numFmtId="169" fontId="3" fillId="0" borderId="5" xfId="1" applyNumberFormat="1" applyFont="1" applyFill="1" applyBorder="1" applyAlignment="1">
      <alignment horizontal="center" vertical="center" wrapText="1"/>
    </xf>
    <xf numFmtId="38" fontId="3" fillId="0" borderId="5" xfId="0" applyNumberFormat="1" applyFont="1" applyFill="1" applyBorder="1" applyAlignment="1">
      <alignment horizontal="center" vertical="center" wrapText="1"/>
    </xf>
    <xf numFmtId="16" fontId="1" fillId="0" borderId="64" xfId="0" quotePrefix="1" applyNumberFormat="1" applyFont="1" applyBorder="1" applyAlignment="1">
      <alignment horizontal="center" vertical="center" wrapText="1"/>
    </xf>
    <xf numFmtId="16" fontId="1" fillId="0" borderId="65" xfId="0" quotePrefix="1" applyNumberFormat="1" applyFont="1" applyBorder="1" applyAlignment="1">
      <alignment horizontal="center" vertical="center" wrapText="1"/>
    </xf>
    <xf numFmtId="16" fontId="1" fillId="0" borderId="66" xfId="0" quotePrefix="1" applyNumberFormat="1" applyFont="1" applyBorder="1" applyAlignment="1">
      <alignment horizontal="center" vertical="center" wrapText="1"/>
    </xf>
    <xf numFmtId="164" fontId="3" fillId="0" borderId="54" xfId="0" applyNumberFormat="1" applyFont="1" applyBorder="1" applyAlignment="1">
      <alignment horizontal="center" vertical="center" wrapText="1"/>
    </xf>
    <xf numFmtId="164" fontId="3" fillId="0" borderId="55" xfId="0" applyNumberFormat="1" applyFont="1" applyBorder="1" applyAlignment="1">
      <alignment horizontal="center" vertical="center" wrapText="1"/>
    </xf>
    <xf numFmtId="164" fontId="3" fillId="0" borderId="51" xfId="0" applyNumberFormat="1" applyFont="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38" fontId="3" fillId="0" borderId="18" xfId="0" applyNumberFormat="1" applyFont="1" applyFill="1" applyBorder="1" applyAlignment="1">
      <alignment horizontal="center" vertical="center" wrapText="1"/>
    </xf>
    <xf numFmtId="40" fontId="3" fillId="0" borderId="63" xfId="0" applyNumberFormat="1" applyFont="1" applyFill="1" applyBorder="1" applyAlignment="1">
      <alignment horizontal="center" vertical="center" wrapText="1"/>
    </xf>
    <xf numFmtId="40" fontId="3" fillId="0" borderId="61" xfId="0" applyNumberFormat="1" applyFont="1" applyFill="1" applyBorder="1" applyAlignment="1">
      <alignment horizontal="center" vertical="center" wrapText="1"/>
    </xf>
    <xf numFmtId="0" fontId="3" fillId="6" borderId="67" xfId="0" applyNumberFormat="1" applyFont="1" applyFill="1" applyBorder="1" applyAlignment="1">
      <alignment horizontal="center" vertical="center" wrapText="1"/>
    </xf>
    <xf numFmtId="0" fontId="3" fillId="6" borderId="68" xfId="0" applyNumberFormat="1" applyFont="1" applyFill="1" applyBorder="1" applyAlignment="1">
      <alignment horizontal="center" vertical="center" wrapText="1"/>
    </xf>
    <xf numFmtId="0" fontId="0" fillId="0" borderId="0" xfId="0" applyFill="1" applyBorder="1"/>
    <xf numFmtId="38" fontId="1" fillId="0" borderId="40" xfId="0" applyNumberFormat="1" applyFont="1" applyFill="1" applyBorder="1" applyAlignment="1">
      <alignment horizontal="center" vertical="center" wrapText="1"/>
    </xf>
    <xf numFmtId="40" fontId="3" fillId="0" borderId="41" xfId="0" applyNumberFormat="1" applyFont="1" applyFill="1" applyBorder="1" applyAlignment="1">
      <alignment horizontal="center" vertical="center" wrapText="1"/>
    </xf>
    <xf numFmtId="40" fontId="3" fillId="0" borderId="42" xfId="0" applyNumberFormat="1" applyFont="1" applyFill="1" applyBorder="1" applyAlignment="1">
      <alignment horizontal="center" vertical="center" wrapText="1"/>
    </xf>
    <xf numFmtId="169" fontId="0" fillId="0" borderId="0" xfId="0" applyNumberFormat="1"/>
    <xf numFmtId="164" fontId="0" fillId="0" borderId="0" xfId="0" applyNumberFormat="1"/>
    <xf numFmtId="43" fontId="0" fillId="0" borderId="0" xfId="6" applyFont="1"/>
    <xf numFmtId="43" fontId="0" fillId="0" borderId="0" xfId="0" applyNumberFormat="1"/>
    <xf numFmtId="0" fontId="1" fillId="7" borderId="24" xfId="0" applyFont="1" applyFill="1" applyBorder="1" applyAlignment="1">
      <alignment horizontal="center" vertical="center" wrapText="1"/>
    </xf>
    <xf numFmtId="38" fontId="1" fillId="7" borderId="43" xfId="0" applyNumberFormat="1" applyFont="1" applyFill="1" applyBorder="1" applyAlignment="1">
      <alignment horizontal="center" vertical="center" wrapText="1"/>
    </xf>
    <xf numFmtId="38" fontId="1" fillId="7" borderId="27" xfId="0" applyNumberFormat="1" applyFont="1" applyFill="1" applyBorder="1" applyAlignment="1">
      <alignment horizontal="center" vertical="center" wrapText="1"/>
    </xf>
    <xf numFmtId="38" fontId="1" fillId="0" borderId="41" xfId="0" applyNumberFormat="1" applyFont="1" applyFill="1" applyBorder="1" applyAlignment="1">
      <alignment horizontal="center" vertical="center" wrapText="1"/>
    </xf>
    <xf numFmtId="38" fontId="1" fillId="7" borderId="38" xfId="0" applyNumberFormat="1" applyFont="1" applyFill="1" applyBorder="1" applyAlignment="1">
      <alignment horizontal="center" vertical="center" wrapText="1"/>
    </xf>
    <xf numFmtId="38" fontId="1" fillId="7" borderId="60" xfId="0" applyNumberFormat="1" applyFont="1" applyFill="1" applyBorder="1" applyAlignment="1">
      <alignment horizontal="center" vertical="center" wrapText="1"/>
    </xf>
    <xf numFmtId="38" fontId="1" fillId="7" borderId="23" xfId="0" applyNumberFormat="1" applyFont="1" applyFill="1" applyBorder="1" applyAlignment="1">
      <alignment horizontal="center" vertical="center" wrapText="1"/>
    </xf>
    <xf numFmtId="0" fontId="10" fillId="7" borderId="31" xfId="0" applyFont="1" applyFill="1" applyBorder="1" applyAlignment="1">
      <alignment horizontal="center" vertical="center"/>
    </xf>
    <xf numFmtId="38" fontId="10" fillId="7" borderId="22" xfId="0" applyNumberFormat="1" applyFont="1" applyFill="1" applyBorder="1" applyAlignment="1">
      <alignment horizontal="center" vertical="center"/>
    </xf>
    <xf numFmtId="38" fontId="10" fillId="7" borderId="23" xfId="0" applyNumberFormat="1" applyFont="1" applyFill="1" applyBorder="1" applyAlignment="1">
      <alignment horizontal="center" vertical="center"/>
    </xf>
    <xf numFmtId="38" fontId="10" fillId="7" borderId="53" xfId="0" applyNumberFormat="1" applyFont="1" applyFill="1" applyBorder="1" applyAlignment="1">
      <alignment horizontal="center" vertical="center"/>
    </xf>
    <xf numFmtId="38" fontId="1" fillId="7" borderId="32" xfId="0" applyNumberFormat="1" applyFont="1" applyFill="1" applyBorder="1" applyAlignment="1">
      <alignment horizontal="center" vertical="center" wrapText="1"/>
    </xf>
    <xf numFmtId="38" fontId="1" fillId="7" borderId="36" xfId="0" applyNumberFormat="1" applyFont="1" applyFill="1" applyBorder="1" applyAlignment="1">
      <alignment horizontal="center" vertical="center" wrapText="1"/>
    </xf>
    <xf numFmtId="38" fontId="1" fillId="7" borderId="69" xfId="0" applyNumberFormat="1" applyFont="1" applyFill="1" applyBorder="1" applyAlignment="1">
      <alignment horizontal="center" vertical="center" wrapText="1"/>
    </xf>
    <xf numFmtId="38" fontId="1" fillId="7" borderId="40" xfId="0" applyNumberFormat="1" applyFont="1" applyFill="1" applyBorder="1" applyAlignment="1">
      <alignment horizontal="center" vertical="center" wrapText="1"/>
    </xf>
    <xf numFmtId="40" fontId="3" fillId="0" borderId="59" xfId="0" applyNumberFormat="1" applyFont="1" applyFill="1" applyBorder="1" applyAlignment="1">
      <alignment horizontal="center" vertical="center" wrapText="1"/>
    </xf>
    <xf numFmtId="40" fontId="3" fillId="0" borderId="57" xfId="0" applyNumberFormat="1" applyFont="1" applyFill="1" applyBorder="1" applyAlignment="1">
      <alignment horizontal="center" vertical="center" wrapText="1"/>
    </xf>
    <xf numFmtId="0" fontId="24" fillId="0" borderId="0" xfId="0" applyFont="1" applyAlignment="1">
      <alignment horizontal="justify" vertical="center"/>
    </xf>
    <xf numFmtId="0" fontId="25" fillId="0" borderId="0" xfId="0" applyFont="1" applyAlignment="1">
      <alignment horizontal="justify" vertical="center"/>
    </xf>
    <xf numFmtId="0" fontId="27" fillId="0" borderId="0" xfId="0" applyFont="1" applyAlignment="1">
      <alignment horizontal="justify" vertical="center"/>
    </xf>
    <xf numFmtId="0" fontId="30" fillId="0" borderId="0" xfId="7" applyAlignment="1">
      <alignment horizontal="justify" vertical="center"/>
    </xf>
    <xf numFmtId="0" fontId="29" fillId="0" borderId="0" xfId="0" applyFont="1" applyAlignment="1">
      <alignment horizontal="justify" vertical="center"/>
    </xf>
    <xf numFmtId="38" fontId="1" fillId="0" borderId="61" xfId="0" applyNumberFormat="1" applyFont="1" applyFill="1" applyBorder="1" applyAlignment="1">
      <alignment horizontal="center" vertical="center" wrapText="1"/>
    </xf>
    <xf numFmtId="38" fontId="1" fillId="0" borderId="62" xfId="0" applyNumberFormat="1" applyFont="1" applyFill="1" applyBorder="1" applyAlignment="1">
      <alignment horizontal="center" vertical="center" wrapText="1"/>
    </xf>
    <xf numFmtId="38" fontId="1" fillId="0" borderId="63" xfId="0" applyNumberFormat="1" applyFont="1" applyFill="1" applyBorder="1" applyAlignment="1">
      <alignment horizontal="center" vertical="center" wrapText="1"/>
    </xf>
    <xf numFmtId="0" fontId="8" fillId="0" borderId="0" xfId="0" applyFont="1" applyAlignment="1">
      <alignment horizontal="center"/>
    </xf>
    <xf numFmtId="0" fontId="18" fillId="0" borderId="24"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0" xfId="0" applyFont="1" applyAlignment="1">
      <alignment horizontal="left"/>
    </xf>
    <xf numFmtId="37" fontId="3" fillId="0" borderId="25" xfId="0" applyNumberFormat="1" applyFont="1" applyBorder="1" applyAlignment="1">
      <alignment horizontal="center"/>
    </xf>
    <xf numFmtId="37" fontId="3" fillId="0" borderId="38" xfId="0" applyNumberFormat="1" applyFont="1" applyBorder="1" applyAlignment="1">
      <alignment horizontal="center"/>
    </xf>
    <xf numFmtId="0" fontId="3" fillId="0" borderId="0" xfId="0" applyFont="1" applyAlignment="1">
      <alignment horizontal="center"/>
    </xf>
    <xf numFmtId="173" fontId="3" fillId="0" borderId="0" xfId="3" applyNumberFormat="1" applyFont="1" applyAlignment="1">
      <alignment horizontal="center"/>
    </xf>
    <xf numFmtId="17" fontId="1" fillId="0" borderId="24" xfId="0" applyNumberFormat="1" applyFont="1" applyBorder="1" applyAlignment="1">
      <alignment horizontal="center"/>
    </xf>
    <xf numFmtId="17" fontId="1" fillId="0" borderId="25" xfId="0" applyNumberFormat="1" applyFont="1" applyBorder="1" applyAlignment="1">
      <alignment horizontal="center"/>
    </xf>
    <xf numFmtId="17" fontId="1" fillId="0" borderId="45" xfId="0" applyNumberFormat="1" applyFont="1" applyFill="1" applyBorder="1" applyAlignment="1">
      <alignment horizontal="center"/>
    </xf>
    <xf numFmtId="17" fontId="1" fillId="0" borderId="25" xfId="0" applyNumberFormat="1" applyFont="1" applyFill="1" applyBorder="1" applyAlignment="1">
      <alignment horizontal="center"/>
    </xf>
    <xf numFmtId="17" fontId="1" fillId="0" borderId="38" xfId="0" applyNumberFormat="1" applyFont="1" applyFill="1" applyBorder="1" applyAlignment="1">
      <alignment horizontal="center"/>
    </xf>
    <xf numFmtId="3" fontId="1" fillId="0" borderId="45" xfId="0" applyNumberFormat="1" applyFont="1" applyBorder="1" applyAlignment="1">
      <alignment horizontal="center"/>
    </xf>
    <xf numFmtId="3" fontId="1" fillId="0" borderId="25" xfId="0" applyNumberFormat="1" applyFont="1" applyBorder="1" applyAlignment="1">
      <alignment horizontal="center"/>
    </xf>
    <xf numFmtId="3" fontId="1" fillId="0" borderId="38" xfId="0" applyNumberFormat="1" applyFont="1" applyBorder="1" applyAlignment="1">
      <alignment horizontal="center"/>
    </xf>
    <xf numFmtId="37" fontId="3" fillId="0" borderId="0" xfId="0" applyNumberFormat="1" applyFont="1" applyBorder="1" applyAlignment="1">
      <alignment horizontal="center"/>
    </xf>
    <xf numFmtId="37" fontId="3" fillId="0" borderId="32" xfId="0" applyNumberFormat="1" applyFont="1" applyBorder="1" applyAlignment="1">
      <alignment horizontal="center"/>
    </xf>
    <xf numFmtId="0" fontId="3" fillId="0" borderId="53" xfId="0" applyFont="1" applyFill="1" applyBorder="1" applyAlignment="1">
      <alignment horizontal="center"/>
    </xf>
    <xf numFmtId="0" fontId="3" fillId="0" borderId="0" xfId="0" applyFont="1" applyFill="1" applyBorder="1" applyAlignment="1">
      <alignment horizontal="center"/>
    </xf>
    <xf numFmtId="37" fontId="3" fillId="0" borderId="0" xfId="0" applyNumberFormat="1" applyFont="1" applyFill="1" applyBorder="1" applyAlignment="1">
      <alignment horizontal="center"/>
    </xf>
    <xf numFmtId="37" fontId="3" fillId="0" borderId="36" xfId="0" applyNumberFormat="1" applyFont="1" applyFill="1" applyBorder="1" applyAlignment="1">
      <alignment horizontal="center"/>
    </xf>
    <xf numFmtId="17" fontId="3" fillId="0" borderId="0" xfId="0" applyNumberFormat="1" applyFont="1" applyAlignment="1">
      <alignment horizontal="center" wrapText="1"/>
    </xf>
    <xf numFmtId="0" fontId="24" fillId="2" borderId="0" xfId="0" applyFont="1" applyFill="1" applyAlignment="1">
      <alignment horizontal="justify" vertical="center"/>
    </xf>
  </cellXfs>
  <cellStyles count="8">
    <cellStyle name="Comma" xfId="6" builtinId="3"/>
    <cellStyle name="Comma 2" xfId="3"/>
    <cellStyle name="Currency 2" xfId="4"/>
    <cellStyle name="Hyperlink" xfId="7" builtinId="8"/>
    <cellStyle name="Normal" xfId="0" builtinId="0"/>
    <cellStyle name="Normal 2" xfId="2"/>
    <cellStyle name="Percent" xfId="1"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34</xdr:row>
      <xdr:rowOff>0</xdr:rowOff>
    </xdr:from>
    <xdr:to>
      <xdr:col>8</xdr:col>
      <xdr:colOff>76200</xdr:colOff>
      <xdr:row>35</xdr:row>
      <xdr:rowOff>66675</xdr:rowOff>
    </xdr:to>
    <xdr:sp macro="" textlink="">
      <xdr:nvSpPr>
        <xdr:cNvPr id="2" name="Text Box 1"/>
        <xdr:cNvSpPr txBox="1">
          <a:spLocks noChangeArrowheads="1"/>
        </xdr:cNvSpPr>
      </xdr:nvSpPr>
      <xdr:spPr bwMode="auto">
        <a:xfrm>
          <a:off x="6296025" y="55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34</xdr:row>
      <xdr:rowOff>0</xdr:rowOff>
    </xdr:from>
    <xdr:to>
      <xdr:col>8</xdr:col>
      <xdr:colOff>76200</xdr:colOff>
      <xdr:row>35</xdr:row>
      <xdr:rowOff>66675</xdr:rowOff>
    </xdr:to>
    <xdr:sp macro="" textlink="">
      <xdr:nvSpPr>
        <xdr:cNvPr id="2" name="Text Box 1"/>
        <xdr:cNvSpPr txBox="1">
          <a:spLocks noChangeArrowheads="1"/>
        </xdr:cNvSpPr>
      </xdr:nvSpPr>
      <xdr:spPr bwMode="auto">
        <a:xfrm>
          <a:off x="6296025" y="55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35</xdr:row>
      <xdr:rowOff>0</xdr:rowOff>
    </xdr:from>
    <xdr:to>
      <xdr:col>8</xdr:col>
      <xdr:colOff>76200</xdr:colOff>
      <xdr:row>36</xdr:row>
      <xdr:rowOff>66675</xdr:rowOff>
    </xdr:to>
    <xdr:sp macro="" textlink="">
      <xdr:nvSpPr>
        <xdr:cNvPr id="2" name="Text Box 1"/>
        <xdr:cNvSpPr txBox="1">
          <a:spLocks noChangeArrowheads="1"/>
        </xdr:cNvSpPr>
      </xdr:nvSpPr>
      <xdr:spPr bwMode="auto">
        <a:xfrm>
          <a:off x="6296025" y="573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22</xdr:row>
      <xdr:rowOff>0</xdr:rowOff>
    </xdr:from>
    <xdr:to>
      <xdr:col>3</xdr:col>
      <xdr:colOff>76200</xdr:colOff>
      <xdr:row>23</xdr:row>
      <xdr:rowOff>57150</xdr:rowOff>
    </xdr:to>
    <xdr:sp macro="" textlink="">
      <xdr:nvSpPr>
        <xdr:cNvPr id="2" name="Text Box 1"/>
        <xdr:cNvSpPr txBox="1">
          <a:spLocks noChangeArrowheads="1"/>
        </xdr:cNvSpPr>
      </xdr:nvSpPr>
      <xdr:spPr bwMode="auto">
        <a:xfrm>
          <a:off x="6296025" y="55721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mwd.com/resources/documents/reports/SWRCB-Foothill-MWD-Analysis-and-Supporting-Documentat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15" sqref="A15"/>
    </sheetView>
  </sheetViews>
  <sheetFormatPr defaultRowHeight="15" x14ac:dyDescent="0.25"/>
  <cols>
    <col min="1" max="1" width="165.28515625" customWidth="1"/>
  </cols>
  <sheetData>
    <row r="1" spans="1:1" ht="47.25" x14ac:dyDescent="0.25">
      <c r="A1" s="426" t="s">
        <v>145</v>
      </c>
    </row>
    <row r="2" spans="1:1" ht="15.75" x14ac:dyDescent="0.25">
      <c r="A2" s="427" t="s">
        <v>146</v>
      </c>
    </row>
    <row r="3" spans="1:1" ht="63" x14ac:dyDescent="0.25">
      <c r="A3" s="426" t="s">
        <v>147</v>
      </c>
    </row>
    <row r="4" spans="1:1" ht="15.75" x14ac:dyDescent="0.25">
      <c r="A4" s="427" t="s">
        <v>148</v>
      </c>
    </row>
    <row r="5" spans="1:1" ht="31.5" x14ac:dyDescent="0.25">
      <c r="A5" s="426" t="s">
        <v>149</v>
      </c>
    </row>
    <row r="6" spans="1:1" ht="31.5" x14ac:dyDescent="0.25">
      <c r="A6" s="426" t="s">
        <v>150</v>
      </c>
    </row>
    <row r="7" spans="1:1" ht="63" x14ac:dyDescent="0.25">
      <c r="A7" s="426" t="s">
        <v>151</v>
      </c>
    </row>
    <row r="8" spans="1:1" ht="15.75" x14ac:dyDescent="0.25">
      <c r="A8" s="427" t="s">
        <v>152</v>
      </c>
    </row>
    <row r="9" spans="1:1" ht="47.25" x14ac:dyDescent="0.25">
      <c r="A9" s="426" t="s">
        <v>153</v>
      </c>
    </row>
    <row r="10" spans="1:1" ht="31.5" x14ac:dyDescent="0.25">
      <c r="A10" s="426" t="s">
        <v>154</v>
      </c>
    </row>
    <row r="11" spans="1:1" ht="15.75" x14ac:dyDescent="0.25">
      <c r="A11" s="427" t="s">
        <v>155</v>
      </c>
    </row>
    <row r="12" spans="1:1" ht="31.5" x14ac:dyDescent="0.25">
      <c r="A12" s="426" t="s">
        <v>156</v>
      </c>
    </row>
    <row r="13" spans="1:1" ht="31.5" x14ac:dyDescent="0.25">
      <c r="A13" s="426" t="s">
        <v>174</v>
      </c>
    </row>
    <row r="14" spans="1:1" ht="15.75" x14ac:dyDescent="0.25">
      <c r="A14" s="458" t="s">
        <v>175</v>
      </c>
    </row>
    <row r="15" spans="1:1" ht="15.75" x14ac:dyDescent="0.25">
      <c r="A15" s="426" t="s">
        <v>157</v>
      </c>
    </row>
    <row r="16" spans="1:1" ht="15.75" x14ac:dyDescent="0.25">
      <c r="A16" s="426" t="s">
        <v>158</v>
      </c>
    </row>
    <row r="17" spans="1:1" ht="15.75" x14ac:dyDescent="0.25">
      <c r="A17" s="426" t="s">
        <v>159</v>
      </c>
    </row>
    <row r="18" spans="1:1" ht="31.5" x14ac:dyDescent="0.25">
      <c r="A18" s="426" t="s">
        <v>160</v>
      </c>
    </row>
    <row r="19" spans="1:1" ht="15.75" x14ac:dyDescent="0.25">
      <c r="A19" s="426" t="s">
        <v>161</v>
      </c>
    </row>
    <row r="20" spans="1:1" ht="31.5" x14ac:dyDescent="0.25">
      <c r="A20" s="426" t="s">
        <v>162</v>
      </c>
    </row>
    <row r="21" spans="1:1" ht="15.75" x14ac:dyDescent="0.25">
      <c r="A21" s="426" t="s">
        <v>163</v>
      </c>
    </row>
    <row r="22" spans="1:1" ht="15.75" x14ac:dyDescent="0.25">
      <c r="A22" s="428" t="s">
        <v>164</v>
      </c>
    </row>
    <row r="23" spans="1:1" ht="30" x14ac:dyDescent="0.25">
      <c r="A23" s="429" t="s">
        <v>165</v>
      </c>
    </row>
    <row r="24" spans="1:1" ht="15.75" x14ac:dyDescent="0.25">
      <c r="A24" s="428" t="s">
        <v>166</v>
      </c>
    </row>
    <row r="25" spans="1:1" ht="31.5" x14ac:dyDescent="0.25">
      <c r="A25" s="428" t="s">
        <v>167</v>
      </c>
    </row>
    <row r="26" spans="1:1" ht="15.75" x14ac:dyDescent="0.25">
      <c r="A26" s="430" t="s">
        <v>168</v>
      </c>
    </row>
    <row r="27" spans="1:1" ht="31.5" x14ac:dyDescent="0.25">
      <c r="A27" s="428" t="s">
        <v>169</v>
      </c>
    </row>
    <row r="28" spans="1:1" ht="47.25" x14ac:dyDescent="0.25">
      <c r="A28" s="428" t="s">
        <v>170</v>
      </c>
    </row>
    <row r="29" spans="1:1" ht="31.5" x14ac:dyDescent="0.25">
      <c r="A29" s="428" t="s">
        <v>171</v>
      </c>
    </row>
    <row r="30" spans="1:1" ht="31.5" x14ac:dyDescent="0.25">
      <c r="A30" s="428" t="s">
        <v>172</v>
      </c>
    </row>
    <row r="31" spans="1:1" ht="47.25" x14ac:dyDescent="0.25">
      <c r="A31" s="428" t="s">
        <v>173</v>
      </c>
    </row>
    <row r="32" spans="1:1" ht="15.75" x14ac:dyDescent="0.25">
      <c r="A32" s="428"/>
    </row>
  </sheetData>
  <hyperlinks>
    <hyperlink ref="A23" r:id="rId1" display="http://www.fmwd.com/resources/documents/reports/SWRCB-Foothill-MWD-Analysis-and-Supporting-Documentation.pd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6" sqref="N32:O3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3"/>
  <sheetViews>
    <sheetView topLeftCell="A13" workbookViewId="0">
      <selection activeCell="P6" sqref="P6"/>
    </sheetView>
  </sheetViews>
  <sheetFormatPr defaultRowHeight="15" x14ac:dyDescent="0.25"/>
  <cols>
    <col min="3" max="3" width="14" customWidth="1"/>
    <col min="4" max="4" width="16.28515625" customWidth="1"/>
    <col min="5" max="5" width="15.140625" customWidth="1"/>
    <col min="6" max="9" width="13" customWidth="1"/>
    <col min="10" max="10" width="3.7109375" style="401" customWidth="1"/>
    <col min="11" max="11" width="8.7109375" customWidth="1"/>
    <col min="12" max="12" width="13" customWidth="1"/>
    <col min="13" max="13" width="13.85546875" customWidth="1"/>
    <col min="14" max="14" width="13.5703125" customWidth="1"/>
    <col min="15" max="15" width="12.42578125" customWidth="1"/>
    <col min="16" max="16" width="13.140625" customWidth="1"/>
    <col min="17" max="17" width="11.28515625" customWidth="1"/>
    <col min="18" max="18" width="15.7109375" customWidth="1"/>
    <col min="20" max="21" width="10" bestFit="1" customWidth="1"/>
  </cols>
  <sheetData>
    <row r="1" spans="2:21" ht="15.75" thickBot="1" x14ac:dyDescent="0.3"/>
    <row r="2" spans="2:21" ht="89.25" x14ac:dyDescent="0.25">
      <c r="B2" s="409" t="s">
        <v>0</v>
      </c>
      <c r="C2" s="410" t="s">
        <v>134</v>
      </c>
      <c r="D2" s="411" t="s">
        <v>135</v>
      </c>
      <c r="E2" s="411" t="s">
        <v>139</v>
      </c>
      <c r="F2" s="411" t="s">
        <v>121</v>
      </c>
      <c r="G2" s="411" t="s">
        <v>136</v>
      </c>
      <c r="H2" s="411" t="s">
        <v>122</v>
      </c>
      <c r="I2" s="414" t="s">
        <v>137</v>
      </c>
      <c r="J2" s="402"/>
      <c r="K2" s="423" t="s">
        <v>0</v>
      </c>
      <c r="L2" s="413" t="s">
        <v>129</v>
      </c>
      <c r="M2" s="411" t="s">
        <v>130</v>
      </c>
      <c r="N2" s="411" t="s">
        <v>131</v>
      </c>
      <c r="O2" s="411" t="s">
        <v>127</v>
      </c>
      <c r="P2" s="411" t="s">
        <v>132</v>
      </c>
      <c r="Q2" s="411" t="s">
        <v>128</v>
      </c>
      <c r="R2" s="414" t="s">
        <v>133</v>
      </c>
    </row>
    <row r="3" spans="2:21" ht="12" customHeight="1" thickBot="1" x14ac:dyDescent="0.3">
      <c r="B3" s="416">
        <v>1</v>
      </c>
      <c r="C3" s="417">
        <v>2</v>
      </c>
      <c r="D3" s="418">
        <v>3</v>
      </c>
      <c r="E3" s="418">
        <v>4</v>
      </c>
      <c r="F3" s="418">
        <v>5</v>
      </c>
      <c r="G3" s="418">
        <v>6</v>
      </c>
      <c r="H3" s="418">
        <v>7</v>
      </c>
      <c r="I3" s="419">
        <v>8</v>
      </c>
      <c r="J3" s="412"/>
      <c r="K3" s="420"/>
      <c r="L3" s="421"/>
      <c r="M3" s="415"/>
      <c r="N3" s="415"/>
      <c r="O3" s="415"/>
      <c r="P3" s="415"/>
      <c r="Q3" s="415"/>
      <c r="R3" s="422"/>
    </row>
    <row r="4" spans="2:21" ht="24.95" customHeight="1" x14ac:dyDescent="0.25">
      <c r="B4" s="388" t="s">
        <v>1</v>
      </c>
      <c r="C4" s="391">
        <v>2028.9580632886532</v>
      </c>
      <c r="D4" s="379">
        <f>'Water Usage by Water Year'!R14</f>
        <v>-0.10046284189408529</v>
      </c>
      <c r="E4" s="380">
        <f>'Water Usage by Water Year'!T14</f>
        <v>204.96219337651496</v>
      </c>
      <c r="F4" s="380">
        <f>C4+E4</f>
        <v>2233.9202566651684</v>
      </c>
      <c r="G4" s="386">
        <f>(F5-F4)/F5</f>
        <v>0.10804907075190617</v>
      </c>
      <c r="H4" s="387">
        <v>1118</v>
      </c>
      <c r="I4" s="424">
        <f>+'rainfall CIMIS'!D16</f>
        <v>11.24</v>
      </c>
      <c r="J4" s="403"/>
      <c r="K4" s="399" t="s">
        <v>126</v>
      </c>
      <c r="L4" s="394">
        <f>(100-G4)*L5/100</f>
        <v>2229.5413934155436</v>
      </c>
      <c r="M4" s="380">
        <f>(100-D6)*M5/100</f>
        <v>480.53724896798286</v>
      </c>
      <c r="N4" s="380">
        <f>L4+M4</f>
        <v>2710.0786423835266</v>
      </c>
      <c r="O4" s="380">
        <v>2375</v>
      </c>
      <c r="P4" s="380">
        <f>N4+O4</f>
        <v>5085.078642383527</v>
      </c>
      <c r="Q4" s="380">
        <v>4555.5</v>
      </c>
      <c r="R4" s="381">
        <f>P4-4555.5</f>
        <v>529.57864238352704</v>
      </c>
      <c r="T4" s="57"/>
      <c r="U4" s="57"/>
    </row>
    <row r="5" spans="2:21" ht="24.95" customHeight="1" x14ac:dyDescent="0.25">
      <c r="B5" s="389" t="s">
        <v>2</v>
      </c>
      <c r="C5" s="392">
        <v>2255.5578110423721</v>
      </c>
      <c r="D5" s="332">
        <f>'Water Usage by Water Year'!R9</f>
        <v>-0.22903196849959467</v>
      </c>
      <c r="E5" s="322">
        <f>'Lost Production for 2013-2014'!B62</f>
        <v>248.97487501956414</v>
      </c>
      <c r="F5" s="322">
        <f>C5+E5</f>
        <v>2504.5326860619361</v>
      </c>
      <c r="G5" s="332">
        <f>(C6-F5)/C6</f>
        <v>0.14393032829903374</v>
      </c>
      <c r="H5" s="321">
        <v>1120</v>
      </c>
      <c r="I5" s="425">
        <f>+'rainfall CIMIS'!D10</f>
        <v>6.04</v>
      </c>
      <c r="J5" s="403"/>
      <c r="K5" s="400" t="s">
        <v>125</v>
      </c>
      <c r="L5" s="395">
        <f>(100-G5)*L6/100</f>
        <v>2231.9529978893825</v>
      </c>
      <c r="M5" s="322">
        <f>(100-D6)*M6/100</f>
        <v>480.26854936028423</v>
      </c>
      <c r="N5" s="322">
        <f>L5+M5</f>
        <v>2712.2215472496669</v>
      </c>
      <c r="O5" s="322">
        <v>2345</v>
      </c>
      <c r="P5" s="322">
        <f>N5+O5</f>
        <v>5057.2215472496664</v>
      </c>
      <c r="Q5" s="322">
        <v>4555.5</v>
      </c>
      <c r="R5" s="382">
        <f>P5-4555.5</f>
        <v>501.7215472496664</v>
      </c>
      <c r="T5" s="57"/>
      <c r="U5" s="57"/>
    </row>
    <row r="6" spans="2:21" ht="24.95" customHeight="1" x14ac:dyDescent="0.25">
      <c r="B6" s="389" t="s">
        <v>3</v>
      </c>
      <c r="C6" s="392">
        <v>2925.6178192664611</v>
      </c>
      <c r="D6" s="332">
        <f>'Water Usage by Water Year'!R4</f>
        <v>-5.5947783392558542E-2</v>
      </c>
      <c r="E6" s="322">
        <v>0</v>
      </c>
      <c r="F6" s="322">
        <f>C6</f>
        <v>2925.6178192664611</v>
      </c>
      <c r="G6" s="332">
        <f>(C7-F6)/C7</f>
        <v>5.5947783392558542E-2</v>
      </c>
      <c r="H6" s="321">
        <v>1125</v>
      </c>
      <c r="I6" s="425">
        <f>+'rainfall CIMIS'!D3</f>
        <v>5.93</v>
      </c>
      <c r="J6" s="403"/>
      <c r="K6" s="400" t="s">
        <v>124</v>
      </c>
      <c r="L6" s="395">
        <f>(100-D6)*F4/100</f>
        <v>2235.1700855315298</v>
      </c>
      <c r="M6" s="322">
        <v>480</v>
      </c>
      <c r="N6" s="322">
        <f>L6+M6</f>
        <v>2715.1700855315298</v>
      </c>
      <c r="O6" s="322">
        <v>2305</v>
      </c>
      <c r="P6" s="322">
        <f>N6+O6</f>
        <v>5020.1700855315303</v>
      </c>
      <c r="Q6" s="322">
        <v>4555.5</v>
      </c>
      <c r="R6" s="382">
        <f>P6-4555.5</f>
        <v>464.67008553153028</v>
      </c>
      <c r="T6" s="57"/>
      <c r="U6" s="57"/>
    </row>
    <row r="7" spans="2:21" ht="24.95" customHeight="1" thickBot="1" x14ac:dyDescent="0.3">
      <c r="B7" s="390" t="s">
        <v>101</v>
      </c>
      <c r="C7" s="393">
        <v>3099</v>
      </c>
      <c r="D7" s="383"/>
      <c r="E7" s="383"/>
      <c r="F7" s="383"/>
      <c r="G7" s="383"/>
      <c r="H7" s="383"/>
      <c r="I7" s="398"/>
      <c r="J7" s="404"/>
      <c r="K7" s="397"/>
      <c r="L7" s="396"/>
      <c r="M7" s="383"/>
      <c r="N7" s="431" t="s">
        <v>102</v>
      </c>
      <c r="O7" s="432"/>
      <c r="P7" s="432"/>
      <c r="Q7" s="432"/>
      <c r="R7" s="433"/>
      <c r="U7" s="57"/>
    </row>
    <row r="9" spans="2:21" x14ac:dyDescent="0.25">
      <c r="B9" s="385" t="s">
        <v>120</v>
      </c>
      <c r="L9" s="407"/>
      <c r="R9" s="57"/>
    </row>
    <row r="10" spans="2:21" x14ac:dyDescent="0.25">
      <c r="B10" s="384" t="s">
        <v>123</v>
      </c>
      <c r="L10" s="405"/>
    </row>
    <row r="11" spans="2:21" x14ac:dyDescent="0.25">
      <c r="B11" s="384" t="s">
        <v>138</v>
      </c>
      <c r="L11" s="406"/>
    </row>
    <row r="12" spans="2:21" x14ac:dyDescent="0.25">
      <c r="B12" s="384" t="s">
        <v>144</v>
      </c>
      <c r="L12" s="406"/>
    </row>
    <row r="13" spans="2:21" x14ac:dyDescent="0.25">
      <c r="L13" s="408"/>
    </row>
  </sheetData>
  <mergeCells count="1">
    <mergeCell ref="N7:R7"/>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D16" sqref="D16"/>
    </sheetView>
  </sheetViews>
  <sheetFormatPr defaultRowHeight="15" x14ac:dyDescent="0.25"/>
  <cols>
    <col min="1" max="1" width="24.85546875" bestFit="1" customWidth="1"/>
  </cols>
  <sheetData>
    <row r="1" spans="1:4" x14ac:dyDescent="0.25">
      <c r="A1" s="434" t="s">
        <v>103</v>
      </c>
      <c r="B1" s="434"/>
      <c r="C1" s="434"/>
      <c r="D1" s="434"/>
    </row>
    <row r="2" spans="1:4" ht="30.75" thickBot="1" x14ac:dyDescent="0.3">
      <c r="B2" t="s">
        <v>112</v>
      </c>
      <c r="D2" s="324" t="s">
        <v>104</v>
      </c>
    </row>
    <row r="3" spans="1:4" ht="27" customHeight="1" thickBot="1" x14ac:dyDescent="0.3">
      <c r="A3" s="435" t="s">
        <v>105</v>
      </c>
      <c r="B3" s="325" t="s">
        <v>106</v>
      </c>
      <c r="C3" s="329" t="s">
        <v>107</v>
      </c>
      <c r="D3" s="331">
        <v>5.93</v>
      </c>
    </row>
    <row r="4" spans="1:4" x14ac:dyDescent="0.25">
      <c r="A4" s="436"/>
      <c r="B4" s="326" t="s">
        <v>108</v>
      </c>
      <c r="C4" s="326" t="s">
        <v>36</v>
      </c>
      <c r="D4" s="330">
        <v>14.41</v>
      </c>
    </row>
    <row r="5" spans="1:4" ht="15.75" thickBot="1" x14ac:dyDescent="0.3">
      <c r="A5" s="437"/>
      <c r="B5" s="327"/>
      <c r="C5" s="327" t="s">
        <v>109</v>
      </c>
      <c r="D5" s="328">
        <v>0.41</v>
      </c>
    </row>
    <row r="6" spans="1:4" x14ac:dyDescent="0.25">
      <c r="A6" s="58"/>
      <c r="B6" s="58"/>
      <c r="C6" s="58"/>
      <c r="D6" s="58"/>
    </row>
    <row r="7" spans="1:4" x14ac:dyDescent="0.25">
      <c r="A7" s="58"/>
      <c r="B7" s="58"/>
      <c r="C7" s="58"/>
      <c r="D7" s="58"/>
    </row>
    <row r="8" spans="1:4" x14ac:dyDescent="0.25">
      <c r="A8" s="434" t="s">
        <v>110</v>
      </c>
      <c r="B8" s="434"/>
      <c r="C8" s="434"/>
      <c r="D8" s="434"/>
    </row>
    <row r="9" spans="1:4" ht="15.75" thickBot="1" x14ac:dyDescent="0.3">
      <c r="A9" s="58"/>
      <c r="B9" s="58"/>
      <c r="C9" s="58"/>
      <c r="D9" s="58"/>
    </row>
    <row r="10" spans="1:4" ht="27" customHeight="1" thickBot="1" x14ac:dyDescent="0.3">
      <c r="A10" s="435" t="s">
        <v>105</v>
      </c>
      <c r="B10" s="325" t="s">
        <v>106</v>
      </c>
      <c r="C10" s="329" t="s">
        <v>107</v>
      </c>
      <c r="D10" s="331">
        <v>6.04</v>
      </c>
    </row>
    <row r="11" spans="1:4" x14ac:dyDescent="0.25">
      <c r="A11" s="436"/>
      <c r="B11" s="326" t="s">
        <v>108</v>
      </c>
      <c r="C11" s="326" t="s">
        <v>36</v>
      </c>
      <c r="D11" s="330">
        <v>14.41</v>
      </c>
    </row>
    <row r="12" spans="1:4" ht="15.75" thickBot="1" x14ac:dyDescent="0.3">
      <c r="A12" s="437"/>
      <c r="B12" s="327"/>
      <c r="C12" s="327" t="s">
        <v>109</v>
      </c>
      <c r="D12" s="328">
        <v>0.42</v>
      </c>
    </row>
    <row r="13" spans="1:4" x14ac:dyDescent="0.25">
      <c r="A13" s="58"/>
      <c r="B13" s="58"/>
      <c r="C13" s="58"/>
      <c r="D13" s="58"/>
    </row>
    <row r="14" spans="1:4" x14ac:dyDescent="0.25">
      <c r="A14" s="434" t="s">
        <v>111</v>
      </c>
      <c r="B14" s="434"/>
      <c r="C14" s="434"/>
      <c r="D14" s="434"/>
    </row>
    <row r="15" spans="1:4" ht="15.75" thickBot="1" x14ac:dyDescent="0.3">
      <c r="A15" s="58"/>
      <c r="B15" s="58"/>
      <c r="C15" s="58"/>
      <c r="D15" s="58"/>
    </row>
    <row r="16" spans="1:4" ht="27" customHeight="1" thickBot="1" x14ac:dyDescent="0.3">
      <c r="A16" s="435" t="s">
        <v>105</v>
      </c>
      <c r="B16" s="325" t="s">
        <v>106</v>
      </c>
      <c r="C16" s="329" t="s">
        <v>107</v>
      </c>
      <c r="D16" s="331">
        <v>11.24</v>
      </c>
    </row>
    <row r="17" spans="1:4" x14ac:dyDescent="0.25">
      <c r="A17" s="436"/>
      <c r="B17" s="326" t="s">
        <v>108</v>
      </c>
      <c r="C17" s="326" t="s">
        <v>36</v>
      </c>
      <c r="D17" s="330">
        <v>14.41</v>
      </c>
    </row>
    <row r="18" spans="1:4" ht="15.75" thickBot="1" x14ac:dyDescent="0.3">
      <c r="A18" s="437"/>
      <c r="B18" s="327"/>
      <c r="C18" s="327" t="s">
        <v>109</v>
      </c>
      <c r="D18" s="328">
        <v>0.78</v>
      </c>
    </row>
  </sheetData>
  <mergeCells count="6">
    <mergeCell ref="A1:D1"/>
    <mergeCell ref="A8:D8"/>
    <mergeCell ref="A14:D14"/>
    <mergeCell ref="A10:A12"/>
    <mergeCell ref="A16:A18"/>
    <mergeCell ref="A3:A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9"/>
  <sheetViews>
    <sheetView workbookViewId="0">
      <pane ySplit="2" topLeftCell="A519" activePane="bottomLeft" state="frozen"/>
      <selection pane="bottomLeft" activeCell="F574" sqref="F574"/>
    </sheetView>
  </sheetViews>
  <sheetFormatPr defaultColWidth="9.140625" defaultRowHeight="12.75" x14ac:dyDescent="0.2"/>
  <cols>
    <col min="1" max="1" width="9.5703125" style="2" customWidth="1"/>
    <col min="2" max="3" width="6.28515625" style="3" bestFit="1" customWidth="1"/>
    <col min="4" max="4" width="6.42578125" style="3" bestFit="1" customWidth="1"/>
    <col min="5" max="5" width="5.7109375" style="3" bestFit="1" customWidth="1"/>
    <col min="6" max="6" width="6.28515625" style="3" bestFit="1" customWidth="1"/>
    <col min="7" max="7" width="6" style="3" bestFit="1" customWidth="1"/>
    <col min="8" max="13" width="6.28515625" style="3" bestFit="1" customWidth="1"/>
    <col min="14" max="15" width="6.28515625" style="3" customWidth="1"/>
    <col min="16" max="16" width="10.7109375" style="4" customWidth="1"/>
    <col min="17" max="17" width="19.7109375" style="5" customWidth="1"/>
    <col min="18" max="18" width="9.140625" style="1"/>
    <col min="19" max="19" width="10.140625" style="1" customWidth="1"/>
    <col min="20" max="16384" width="9.140625" style="1"/>
  </cols>
  <sheetData>
    <row r="1" spans="1:24" ht="13.5" thickBot="1" x14ac:dyDescent="0.25"/>
    <row r="2" spans="1:24" s="12" customFormat="1" ht="39" thickBot="1" x14ac:dyDescent="0.25">
      <c r="A2" s="6"/>
      <c r="B2" s="7" t="s">
        <v>6</v>
      </c>
      <c r="C2" s="8" t="s">
        <v>7</v>
      </c>
      <c r="D2" s="8" t="s">
        <v>8</v>
      </c>
      <c r="E2" s="8" t="s">
        <v>9</v>
      </c>
      <c r="F2" s="8" t="s">
        <v>10</v>
      </c>
      <c r="G2" s="8" t="s">
        <v>11</v>
      </c>
      <c r="H2" s="8" t="s">
        <v>12</v>
      </c>
      <c r="I2" s="8" t="s">
        <v>13</v>
      </c>
      <c r="J2" s="8" t="s">
        <v>14</v>
      </c>
      <c r="K2" s="8" t="s">
        <v>15</v>
      </c>
      <c r="L2" s="8" t="s">
        <v>16</v>
      </c>
      <c r="M2" s="8" t="s">
        <v>17</v>
      </c>
      <c r="N2" s="8" t="s">
        <v>18</v>
      </c>
      <c r="O2" s="9" t="s">
        <v>19</v>
      </c>
      <c r="P2" s="10"/>
      <c r="Q2" s="11"/>
      <c r="R2" s="10"/>
      <c r="X2" s="10"/>
    </row>
    <row r="3" spans="1:24" x14ac:dyDescent="0.2">
      <c r="A3" s="13">
        <v>25569</v>
      </c>
      <c r="B3" s="14">
        <v>1315</v>
      </c>
      <c r="C3" s="15">
        <v>1538</v>
      </c>
      <c r="D3" s="15"/>
      <c r="E3" s="15"/>
      <c r="F3" s="15"/>
      <c r="G3" s="15"/>
      <c r="H3" s="15"/>
      <c r="I3" s="15"/>
      <c r="J3" s="15"/>
      <c r="K3" s="15"/>
      <c r="L3" s="15"/>
      <c r="M3" s="15"/>
      <c r="N3" s="15"/>
      <c r="O3" s="16"/>
    </row>
    <row r="4" spans="1:24" x14ac:dyDescent="0.2">
      <c r="A4" s="17">
        <v>25600</v>
      </c>
      <c r="B4" s="18">
        <v>1315</v>
      </c>
      <c r="C4" s="19">
        <v>1537</v>
      </c>
      <c r="D4" s="19"/>
      <c r="E4" s="19"/>
      <c r="F4" s="19"/>
      <c r="G4" s="19"/>
      <c r="H4" s="19"/>
      <c r="I4" s="19"/>
      <c r="J4" s="19"/>
      <c r="K4" s="19"/>
      <c r="L4" s="19"/>
      <c r="M4" s="19"/>
      <c r="N4" s="19"/>
      <c r="O4" s="20"/>
    </row>
    <row r="5" spans="1:24" x14ac:dyDescent="0.2">
      <c r="A5" s="17">
        <v>25628</v>
      </c>
      <c r="B5" s="18">
        <v>1313</v>
      </c>
      <c r="C5" s="19">
        <v>1535</v>
      </c>
      <c r="D5" s="19"/>
      <c r="E5" s="19"/>
      <c r="F5" s="19"/>
      <c r="G5" s="19"/>
      <c r="H5" s="19"/>
      <c r="I5" s="19"/>
      <c r="J5" s="19"/>
      <c r="K5" s="19"/>
      <c r="L5" s="19"/>
      <c r="M5" s="19"/>
      <c r="N5" s="19"/>
      <c r="O5" s="20"/>
    </row>
    <row r="6" spans="1:24" x14ac:dyDescent="0.2">
      <c r="A6" s="17">
        <v>25659</v>
      </c>
      <c r="B6" s="18">
        <v>1316</v>
      </c>
      <c r="C6" s="19">
        <v>1537</v>
      </c>
      <c r="D6" s="19"/>
      <c r="E6" s="19"/>
      <c r="F6" s="19"/>
      <c r="G6" s="19"/>
      <c r="H6" s="19"/>
      <c r="I6" s="19"/>
      <c r="J6" s="19"/>
      <c r="K6" s="19"/>
      <c r="L6" s="19"/>
      <c r="M6" s="19"/>
      <c r="N6" s="19"/>
      <c r="O6" s="20"/>
    </row>
    <row r="7" spans="1:24" x14ac:dyDescent="0.2">
      <c r="A7" s="17">
        <v>25689</v>
      </c>
      <c r="B7" s="18">
        <v>1315</v>
      </c>
      <c r="C7" s="19">
        <v>1533</v>
      </c>
      <c r="D7" s="19"/>
      <c r="E7" s="19"/>
      <c r="F7" s="19"/>
      <c r="G7" s="19"/>
      <c r="H7" s="19"/>
      <c r="I7" s="19"/>
      <c r="J7" s="19"/>
      <c r="K7" s="19"/>
      <c r="L7" s="19"/>
      <c r="M7" s="19"/>
      <c r="N7" s="19"/>
      <c r="O7" s="20"/>
    </row>
    <row r="8" spans="1:24" x14ac:dyDescent="0.2">
      <c r="A8" s="17">
        <v>25720</v>
      </c>
      <c r="B8" s="18">
        <v>1308</v>
      </c>
      <c r="C8" s="19">
        <v>1532</v>
      </c>
      <c r="D8" s="19"/>
      <c r="E8" s="19"/>
      <c r="F8" s="19"/>
      <c r="G8" s="19"/>
      <c r="H8" s="19"/>
      <c r="I8" s="19"/>
      <c r="J8" s="19"/>
      <c r="K8" s="19"/>
      <c r="L8" s="19"/>
      <c r="M8" s="19"/>
      <c r="N8" s="19"/>
      <c r="O8" s="20"/>
    </row>
    <row r="9" spans="1:24" x14ac:dyDescent="0.2">
      <c r="A9" s="17">
        <v>25750</v>
      </c>
      <c r="B9" s="18">
        <v>1308</v>
      </c>
      <c r="C9" s="19">
        <v>1532</v>
      </c>
      <c r="D9" s="19"/>
      <c r="E9" s="19"/>
      <c r="F9" s="19"/>
      <c r="G9" s="19"/>
      <c r="H9" s="19"/>
      <c r="I9" s="19"/>
      <c r="J9" s="19"/>
      <c r="K9" s="19"/>
      <c r="L9" s="19"/>
      <c r="M9" s="19"/>
      <c r="N9" s="19"/>
      <c r="O9" s="20"/>
    </row>
    <row r="10" spans="1:24" x14ac:dyDescent="0.2">
      <c r="A10" s="17">
        <v>25781</v>
      </c>
      <c r="B10" s="18">
        <v>1307</v>
      </c>
      <c r="C10" s="19">
        <v>1531</v>
      </c>
      <c r="D10" s="19"/>
      <c r="E10" s="19"/>
      <c r="F10" s="19"/>
      <c r="G10" s="19"/>
      <c r="H10" s="19"/>
      <c r="I10" s="19"/>
      <c r="J10" s="19"/>
      <c r="K10" s="19"/>
      <c r="L10" s="19"/>
      <c r="M10" s="19"/>
      <c r="N10" s="19"/>
      <c r="O10" s="20"/>
    </row>
    <row r="11" spans="1:24" x14ac:dyDescent="0.2">
      <c r="A11" s="17">
        <v>25812</v>
      </c>
      <c r="B11" s="18">
        <v>1307</v>
      </c>
      <c r="C11" s="19">
        <v>1531</v>
      </c>
      <c r="D11" s="19"/>
      <c r="E11" s="19"/>
      <c r="F11" s="19"/>
      <c r="G11" s="19"/>
      <c r="H11" s="19"/>
      <c r="I11" s="19"/>
      <c r="J11" s="19"/>
      <c r="K11" s="19"/>
      <c r="L11" s="19"/>
      <c r="M11" s="19"/>
      <c r="N11" s="19"/>
      <c r="O11" s="20"/>
    </row>
    <row r="12" spans="1:24" x14ac:dyDescent="0.2">
      <c r="A12" s="17">
        <v>25873</v>
      </c>
      <c r="B12" s="18">
        <v>1302</v>
      </c>
      <c r="C12" s="19">
        <v>1531</v>
      </c>
      <c r="D12" s="19"/>
      <c r="E12" s="19"/>
      <c r="F12" s="19"/>
      <c r="G12" s="19"/>
      <c r="H12" s="19"/>
      <c r="I12" s="19"/>
      <c r="J12" s="19"/>
      <c r="K12" s="19"/>
      <c r="L12" s="19"/>
      <c r="M12" s="19"/>
      <c r="N12" s="19"/>
      <c r="O12" s="20"/>
    </row>
    <row r="13" spans="1:24" x14ac:dyDescent="0.2">
      <c r="A13" s="17">
        <v>25903</v>
      </c>
      <c r="B13" s="18">
        <v>1312.2</v>
      </c>
      <c r="C13" s="19">
        <v>1532</v>
      </c>
      <c r="D13" s="19"/>
      <c r="E13" s="19"/>
      <c r="F13" s="19"/>
      <c r="G13" s="19"/>
      <c r="H13" s="19"/>
      <c r="I13" s="19"/>
      <c r="J13" s="19"/>
      <c r="K13" s="19"/>
      <c r="L13" s="19"/>
      <c r="M13" s="19"/>
      <c r="N13" s="19"/>
      <c r="O13" s="20"/>
    </row>
    <row r="14" spans="1:24" x14ac:dyDescent="0.2">
      <c r="A14" s="17">
        <v>25934</v>
      </c>
      <c r="B14" s="18"/>
      <c r="C14" s="19"/>
      <c r="D14" s="19"/>
      <c r="E14" s="19"/>
      <c r="F14" s="19"/>
      <c r="G14" s="19"/>
      <c r="H14" s="19"/>
      <c r="I14" s="19"/>
      <c r="J14" s="19"/>
      <c r="K14" s="19"/>
      <c r="L14" s="19"/>
      <c r="M14" s="19"/>
      <c r="N14" s="19"/>
      <c r="O14" s="20"/>
    </row>
    <row r="15" spans="1:24" x14ac:dyDescent="0.2">
      <c r="A15" s="17">
        <v>25965</v>
      </c>
      <c r="B15" s="18">
        <v>1313.1</v>
      </c>
      <c r="C15" s="19">
        <v>1536.1</v>
      </c>
      <c r="D15" s="19"/>
      <c r="E15" s="19"/>
      <c r="F15" s="19"/>
      <c r="G15" s="19"/>
      <c r="H15" s="19"/>
      <c r="I15" s="19"/>
      <c r="J15" s="19"/>
      <c r="K15" s="19"/>
      <c r="L15" s="19"/>
      <c r="M15" s="19"/>
      <c r="N15" s="19"/>
      <c r="O15" s="20"/>
    </row>
    <row r="16" spans="1:24" x14ac:dyDescent="0.2">
      <c r="A16" s="17">
        <v>25993</v>
      </c>
      <c r="B16" s="18">
        <v>1320</v>
      </c>
      <c r="C16" s="19">
        <v>1533</v>
      </c>
      <c r="D16" s="19"/>
      <c r="E16" s="19"/>
      <c r="F16" s="19"/>
      <c r="G16" s="19"/>
      <c r="H16" s="19"/>
      <c r="I16" s="19"/>
      <c r="J16" s="19"/>
      <c r="K16" s="19"/>
      <c r="L16" s="19"/>
      <c r="M16" s="19"/>
      <c r="N16" s="19"/>
      <c r="O16" s="20"/>
    </row>
    <row r="17" spans="1:17" x14ac:dyDescent="0.2">
      <c r="A17" s="17">
        <v>26024</v>
      </c>
      <c r="B17" s="18">
        <v>1313</v>
      </c>
      <c r="C17" s="19">
        <v>1531</v>
      </c>
      <c r="D17" s="19"/>
      <c r="E17" s="19"/>
      <c r="F17" s="19"/>
      <c r="G17" s="19"/>
      <c r="H17" s="19"/>
      <c r="I17" s="19"/>
      <c r="J17" s="19"/>
      <c r="K17" s="19"/>
      <c r="L17" s="19"/>
      <c r="M17" s="19"/>
      <c r="N17" s="19"/>
      <c r="O17" s="20"/>
      <c r="P17" s="1"/>
      <c r="Q17" s="1"/>
    </row>
    <row r="18" spans="1:17" x14ac:dyDescent="0.2">
      <c r="A18" s="17">
        <v>26054</v>
      </c>
      <c r="B18" s="18">
        <v>1312.2</v>
      </c>
      <c r="C18" s="19">
        <v>1533</v>
      </c>
      <c r="D18" s="19"/>
      <c r="E18" s="19"/>
      <c r="F18" s="19"/>
      <c r="G18" s="19"/>
      <c r="H18" s="19"/>
      <c r="I18" s="19"/>
      <c r="J18" s="19"/>
      <c r="K18" s="19"/>
      <c r="L18" s="19"/>
      <c r="M18" s="19"/>
      <c r="N18" s="19"/>
      <c r="O18" s="20"/>
      <c r="P18" s="1"/>
      <c r="Q18" s="1"/>
    </row>
    <row r="19" spans="1:17" x14ac:dyDescent="0.2">
      <c r="A19" s="17">
        <v>26085</v>
      </c>
      <c r="B19" s="18">
        <v>1310</v>
      </c>
      <c r="C19" s="19">
        <v>1533</v>
      </c>
      <c r="D19" s="19"/>
      <c r="E19" s="19"/>
      <c r="F19" s="19"/>
      <c r="G19" s="19"/>
      <c r="H19" s="19"/>
      <c r="I19" s="19"/>
      <c r="J19" s="19"/>
      <c r="K19" s="19"/>
      <c r="L19" s="19"/>
      <c r="M19" s="19"/>
      <c r="N19" s="19"/>
      <c r="O19" s="20"/>
      <c r="P19" s="1"/>
      <c r="Q19" s="1"/>
    </row>
    <row r="20" spans="1:17" x14ac:dyDescent="0.2">
      <c r="A20" s="17">
        <v>26115</v>
      </c>
      <c r="B20" s="18">
        <v>1307.2</v>
      </c>
      <c r="C20" s="19">
        <v>1535.7</v>
      </c>
      <c r="D20" s="19"/>
      <c r="E20" s="19"/>
      <c r="F20" s="19"/>
      <c r="G20" s="19"/>
      <c r="H20" s="19"/>
      <c r="I20" s="19"/>
      <c r="J20" s="19"/>
      <c r="K20" s="19"/>
      <c r="L20" s="19"/>
      <c r="M20" s="19"/>
      <c r="N20" s="19"/>
      <c r="O20" s="20"/>
      <c r="P20" s="1"/>
      <c r="Q20" s="1"/>
    </row>
    <row r="21" spans="1:17" x14ac:dyDescent="0.2">
      <c r="A21" s="17">
        <v>26146</v>
      </c>
      <c r="B21" s="18">
        <v>1305.0999999999999</v>
      </c>
      <c r="C21" s="19">
        <v>1532.8</v>
      </c>
      <c r="D21" s="19"/>
      <c r="E21" s="19"/>
      <c r="F21" s="19"/>
      <c r="G21" s="19"/>
      <c r="H21" s="19"/>
      <c r="I21" s="19"/>
      <c r="J21" s="19"/>
      <c r="K21" s="19"/>
      <c r="L21" s="19"/>
      <c r="M21" s="19"/>
      <c r="N21" s="19"/>
      <c r="O21" s="20"/>
      <c r="P21" s="1"/>
      <c r="Q21" s="1"/>
    </row>
    <row r="22" spans="1:17" x14ac:dyDescent="0.2">
      <c r="A22" s="17">
        <v>26177</v>
      </c>
      <c r="B22" s="18">
        <v>1294.5</v>
      </c>
      <c r="C22" s="19">
        <v>1535</v>
      </c>
      <c r="D22" s="19"/>
      <c r="E22" s="19"/>
      <c r="F22" s="19"/>
      <c r="G22" s="19"/>
      <c r="H22" s="19"/>
      <c r="I22" s="19"/>
      <c r="J22" s="19"/>
      <c r="K22" s="19"/>
      <c r="L22" s="19"/>
      <c r="M22" s="19"/>
      <c r="N22" s="19"/>
      <c r="O22" s="20"/>
      <c r="P22" s="1"/>
      <c r="Q22" s="1"/>
    </row>
    <row r="23" spans="1:17" x14ac:dyDescent="0.2">
      <c r="A23" s="17">
        <v>26207</v>
      </c>
      <c r="B23" s="18">
        <v>1301</v>
      </c>
      <c r="C23" s="19">
        <v>1533</v>
      </c>
      <c r="D23" s="19"/>
      <c r="E23" s="19"/>
      <c r="F23" s="19"/>
      <c r="G23" s="19"/>
      <c r="H23" s="19"/>
      <c r="I23" s="19"/>
      <c r="J23" s="19"/>
      <c r="K23" s="19"/>
      <c r="L23" s="19"/>
      <c r="M23" s="19"/>
      <c r="N23" s="19"/>
      <c r="O23" s="20"/>
      <c r="P23" s="1"/>
      <c r="Q23" s="1"/>
    </row>
    <row r="24" spans="1:17" x14ac:dyDescent="0.2">
      <c r="A24" s="17">
        <v>26238</v>
      </c>
      <c r="B24" s="18">
        <v>1302</v>
      </c>
      <c r="C24" s="19">
        <v>1533</v>
      </c>
      <c r="D24" s="19"/>
      <c r="E24" s="19"/>
      <c r="F24" s="19"/>
      <c r="G24" s="19"/>
      <c r="H24" s="19"/>
      <c r="I24" s="19"/>
      <c r="J24" s="19"/>
      <c r="K24" s="19"/>
      <c r="L24" s="19"/>
      <c r="M24" s="19"/>
      <c r="N24" s="19"/>
      <c r="O24" s="20"/>
      <c r="P24" s="1"/>
      <c r="Q24" s="1"/>
    </row>
    <row r="25" spans="1:17" x14ac:dyDescent="0.2">
      <c r="A25" s="17">
        <v>26268</v>
      </c>
      <c r="B25" s="18">
        <v>1301.2</v>
      </c>
      <c r="C25" s="19">
        <v>1533</v>
      </c>
      <c r="D25" s="19"/>
      <c r="E25" s="19"/>
      <c r="F25" s="19"/>
      <c r="G25" s="19"/>
      <c r="H25" s="19"/>
      <c r="I25" s="19"/>
      <c r="J25" s="19"/>
      <c r="K25" s="19"/>
      <c r="L25" s="19"/>
      <c r="M25" s="19"/>
      <c r="N25" s="19"/>
      <c r="O25" s="20"/>
      <c r="P25" s="1"/>
      <c r="Q25" s="1"/>
    </row>
    <row r="26" spans="1:17" x14ac:dyDescent="0.2">
      <c r="A26" s="17">
        <v>26299</v>
      </c>
      <c r="B26" s="18">
        <v>1318.2</v>
      </c>
      <c r="C26" s="19">
        <v>1533.3</v>
      </c>
      <c r="D26" s="19"/>
      <c r="E26" s="19"/>
      <c r="F26" s="19"/>
      <c r="G26" s="19"/>
      <c r="H26" s="19"/>
      <c r="I26" s="19"/>
      <c r="J26" s="19"/>
      <c r="K26" s="19"/>
      <c r="L26" s="19"/>
      <c r="M26" s="19"/>
      <c r="N26" s="19"/>
      <c r="O26" s="20"/>
      <c r="P26" s="1"/>
      <c r="Q26" s="1"/>
    </row>
    <row r="27" spans="1:17" x14ac:dyDescent="0.2">
      <c r="A27" s="17">
        <v>26330</v>
      </c>
      <c r="B27" s="18">
        <v>1295.5</v>
      </c>
      <c r="C27" s="19"/>
      <c r="D27" s="19"/>
      <c r="E27" s="19"/>
      <c r="F27" s="19"/>
      <c r="G27" s="19"/>
      <c r="H27" s="19"/>
      <c r="I27" s="19"/>
      <c r="J27" s="19"/>
      <c r="K27" s="19"/>
      <c r="L27" s="19"/>
      <c r="M27" s="19"/>
      <c r="N27" s="19"/>
      <c r="O27" s="20"/>
      <c r="P27" s="1"/>
      <c r="Q27" s="1"/>
    </row>
    <row r="28" spans="1:17" x14ac:dyDescent="0.2">
      <c r="A28" s="17">
        <v>26359</v>
      </c>
      <c r="B28" s="18">
        <v>1295.5</v>
      </c>
      <c r="C28" s="19"/>
      <c r="D28" s="19"/>
      <c r="E28" s="19"/>
      <c r="F28" s="19"/>
      <c r="G28" s="19"/>
      <c r="H28" s="19"/>
      <c r="I28" s="19"/>
      <c r="J28" s="19"/>
      <c r="K28" s="19"/>
      <c r="L28" s="19"/>
      <c r="M28" s="19"/>
      <c r="N28" s="19"/>
      <c r="O28" s="20"/>
      <c r="P28" s="1"/>
      <c r="Q28" s="1"/>
    </row>
    <row r="29" spans="1:17" x14ac:dyDescent="0.2">
      <c r="A29" s="17">
        <v>26390</v>
      </c>
      <c r="B29" s="18"/>
      <c r="C29" s="19">
        <v>1531</v>
      </c>
      <c r="D29" s="19"/>
      <c r="E29" s="19"/>
      <c r="F29" s="19"/>
      <c r="G29" s="19"/>
      <c r="H29" s="19"/>
      <c r="I29" s="19"/>
      <c r="J29" s="19"/>
      <c r="K29" s="19"/>
      <c r="L29" s="19"/>
      <c r="M29" s="19"/>
      <c r="N29" s="19"/>
      <c r="O29" s="20"/>
      <c r="P29" s="1"/>
      <c r="Q29" s="1"/>
    </row>
    <row r="30" spans="1:17" x14ac:dyDescent="0.2">
      <c r="A30" s="17">
        <v>26420</v>
      </c>
      <c r="B30" s="18"/>
      <c r="C30" s="19">
        <v>1532.5</v>
      </c>
      <c r="D30" s="19"/>
      <c r="E30" s="19"/>
      <c r="F30" s="19"/>
      <c r="G30" s="19"/>
      <c r="H30" s="19"/>
      <c r="I30" s="19"/>
      <c r="J30" s="19"/>
      <c r="K30" s="19"/>
      <c r="L30" s="19"/>
      <c r="M30" s="19"/>
      <c r="N30" s="19"/>
      <c r="O30" s="20"/>
      <c r="P30" s="1"/>
      <c r="Q30" s="1"/>
    </row>
    <row r="31" spans="1:17" x14ac:dyDescent="0.2">
      <c r="A31" s="17">
        <v>26451</v>
      </c>
      <c r="B31" s="18"/>
      <c r="C31" s="19"/>
      <c r="D31" s="19"/>
      <c r="E31" s="19"/>
      <c r="F31" s="19"/>
      <c r="G31" s="19"/>
      <c r="H31" s="19"/>
      <c r="I31" s="19"/>
      <c r="J31" s="19"/>
      <c r="K31" s="19"/>
      <c r="L31" s="19"/>
      <c r="M31" s="19"/>
      <c r="N31" s="19"/>
      <c r="O31" s="20"/>
      <c r="P31" s="1"/>
      <c r="Q31" s="1"/>
    </row>
    <row r="32" spans="1:17" x14ac:dyDescent="0.2">
      <c r="A32" s="17">
        <v>26481</v>
      </c>
      <c r="B32" s="18">
        <v>1284</v>
      </c>
      <c r="C32" s="19"/>
      <c r="D32" s="19"/>
      <c r="E32" s="19"/>
      <c r="F32" s="19"/>
      <c r="G32" s="19"/>
      <c r="H32" s="19"/>
      <c r="I32" s="19"/>
      <c r="J32" s="19"/>
      <c r="K32" s="19"/>
      <c r="L32" s="19"/>
      <c r="M32" s="19"/>
      <c r="N32" s="19"/>
      <c r="O32" s="20"/>
      <c r="P32" s="1"/>
      <c r="Q32" s="1"/>
    </row>
    <row r="33" spans="1:17" x14ac:dyDescent="0.2">
      <c r="A33" s="17">
        <v>26512</v>
      </c>
      <c r="B33" s="18"/>
      <c r="C33" s="19">
        <v>1527.8</v>
      </c>
      <c r="D33" s="19"/>
      <c r="E33" s="19"/>
      <c r="F33" s="19"/>
      <c r="G33" s="19"/>
      <c r="H33" s="19"/>
      <c r="I33" s="19"/>
      <c r="J33" s="19"/>
      <c r="K33" s="19"/>
      <c r="L33" s="19"/>
      <c r="M33" s="19"/>
      <c r="N33" s="19"/>
      <c r="O33" s="20"/>
      <c r="P33" s="1"/>
      <c r="Q33" s="1"/>
    </row>
    <row r="34" spans="1:17" x14ac:dyDescent="0.2">
      <c r="A34" s="17">
        <v>26543</v>
      </c>
      <c r="B34" s="18"/>
      <c r="C34" s="19">
        <v>1519</v>
      </c>
      <c r="D34" s="19"/>
      <c r="E34" s="19"/>
      <c r="F34" s="19"/>
      <c r="G34" s="19"/>
      <c r="H34" s="19"/>
      <c r="I34" s="19"/>
      <c r="J34" s="19"/>
      <c r="K34" s="19"/>
      <c r="L34" s="19"/>
      <c r="M34" s="19"/>
      <c r="N34" s="19"/>
      <c r="O34" s="20"/>
      <c r="P34" s="1"/>
      <c r="Q34" s="1"/>
    </row>
    <row r="35" spans="1:17" x14ac:dyDescent="0.2">
      <c r="A35" s="17">
        <v>26573</v>
      </c>
      <c r="B35" s="18"/>
      <c r="C35" s="19">
        <v>1525</v>
      </c>
      <c r="D35" s="19"/>
      <c r="E35" s="19"/>
      <c r="F35" s="19"/>
      <c r="G35" s="19"/>
      <c r="H35" s="19"/>
      <c r="I35" s="19"/>
      <c r="J35" s="19"/>
      <c r="K35" s="19"/>
      <c r="L35" s="19"/>
      <c r="M35" s="19"/>
      <c r="N35" s="19"/>
      <c r="O35" s="20"/>
      <c r="P35" s="1"/>
      <c r="Q35" s="1"/>
    </row>
    <row r="36" spans="1:17" x14ac:dyDescent="0.2">
      <c r="A36" s="17">
        <v>26604</v>
      </c>
      <c r="B36" s="18"/>
      <c r="C36" s="19">
        <v>1531.2</v>
      </c>
      <c r="D36" s="19"/>
      <c r="E36" s="19"/>
      <c r="F36" s="19"/>
      <c r="G36" s="19"/>
      <c r="H36" s="19"/>
      <c r="I36" s="19"/>
      <c r="J36" s="19"/>
      <c r="K36" s="19"/>
      <c r="L36" s="19"/>
      <c r="M36" s="19"/>
      <c r="N36" s="19"/>
      <c r="O36" s="20"/>
      <c r="P36" s="1"/>
      <c r="Q36" s="1"/>
    </row>
    <row r="37" spans="1:17" x14ac:dyDescent="0.2">
      <c r="A37" s="17">
        <v>26634</v>
      </c>
      <c r="B37" s="18"/>
      <c r="C37" s="19">
        <v>1530.9</v>
      </c>
      <c r="D37" s="19"/>
      <c r="E37" s="19"/>
      <c r="F37" s="19"/>
      <c r="G37" s="19"/>
      <c r="H37" s="19"/>
      <c r="I37" s="19"/>
      <c r="J37" s="19"/>
      <c r="K37" s="19"/>
      <c r="L37" s="19"/>
      <c r="M37" s="19"/>
      <c r="N37" s="19"/>
      <c r="O37" s="20"/>
      <c r="P37" s="1"/>
      <c r="Q37" s="1"/>
    </row>
    <row r="38" spans="1:17" x14ac:dyDescent="0.2">
      <c r="A38" s="17">
        <v>26665</v>
      </c>
      <c r="B38" s="18">
        <v>1296</v>
      </c>
      <c r="C38" s="19">
        <v>1527</v>
      </c>
      <c r="D38" s="19"/>
      <c r="E38" s="19"/>
      <c r="F38" s="19"/>
      <c r="G38" s="19"/>
      <c r="H38" s="19"/>
      <c r="I38" s="19"/>
      <c r="J38" s="19"/>
      <c r="K38" s="19"/>
      <c r="L38" s="19"/>
      <c r="M38" s="19"/>
      <c r="N38" s="19"/>
      <c r="O38" s="20"/>
      <c r="P38" s="1"/>
      <c r="Q38" s="1"/>
    </row>
    <row r="39" spans="1:17" x14ac:dyDescent="0.2">
      <c r="A39" s="17">
        <v>26696</v>
      </c>
      <c r="B39" s="18">
        <v>1298.5999999999999</v>
      </c>
      <c r="C39" s="19">
        <v>1531.5</v>
      </c>
      <c r="D39" s="19"/>
      <c r="E39" s="19"/>
      <c r="F39" s="19"/>
      <c r="G39" s="19"/>
      <c r="H39" s="19"/>
      <c r="I39" s="19"/>
      <c r="J39" s="19"/>
      <c r="K39" s="19"/>
      <c r="L39" s="19"/>
      <c r="M39" s="19"/>
      <c r="N39" s="19"/>
      <c r="O39" s="20"/>
      <c r="P39" s="1"/>
      <c r="Q39" s="1"/>
    </row>
    <row r="40" spans="1:17" x14ac:dyDescent="0.2">
      <c r="A40" s="17">
        <v>26724</v>
      </c>
      <c r="B40" s="18">
        <v>1292</v>
      </c>
      <c r="C40" s="19">
        <v>1533.4</v>
      </c>
      <c r="D40" s="19"/>
      <c r="E40" s="19"/>
      <c r="F40" s="19"/>
      <c r="G40" s="19"/>
      <c r="H40" s="19"/>
      <c r="I40" s="19"/>
      <c r="J40" s="19"/>
      <c r="K40" s="19"/>
      <c r="L40" s="19"/>
      <c r="M40" s="19"/>
      <c r="N40" s="19"/>
      <c r="O40" s="20"/>
      <c r="P40" s="1"/>
      <c r="Q40" s="1"/>
    </row>
    <row r="41" spans="1:17" x14ac:dyDescent="0.2">
      <c r="A41" s="17">
        <v>26755</v>
      </c>
      <c r="B41" s="18">
        <v>1292</v>
      </c>
      <c r="C41" s="19">
        <v>1533.8</v>
      </c>
      <c r="D41" s="19"/>
      <c r="E41" s="19"/>
      <c r="F41" s="19"/>
      <c r="G41" s="19"/>
      <c r="H41" s="19"/>
      <c r="I41" s="19"/>
      <c r="J41" s="19"/>
      <c r="K41" s="19"/>
      <c r="L41" s="19"/>
      <c r="M41" s="19"/>
      <c r="N41" s="19"/>
      <c r="O41" s="20"/>
      <c r="P41" s="1"/>
      <c r="Q41" s="1"/>
    </row>
    <row r="42" spans="1:17" x14ac:dyDescent="0.2">
      <c r="A42" s="17">
        <v>26785</v>
      </c>
      <c r="B42" s="18"/>
      <c r="C42" s="19">
        <v>1534.8</v>
      </c>
      <c r="D42" s="19"/>
      <c r="E42" s="19"/>
      <c r="F42" s="19"/>
      <c r="G42" s="19"/>
      <c r="H42" s="19"/>
      <c r="I42" s="19"/>
      <c r="J42" s="19"/>
      <c r="K42" s="19"/>
      <c r="L42" s="19"/>
      <c r="M42" s="19"/>
      <c r="N42" s="19"/>
      <c r="O42" s="20"/>
      <c r="P42" s="1"/>
      <c r="Q42" s="1"/>
    </row>
    <row r="43" spans="1:17" x14ac:dyDescent="0.2">
      <c r="A43" s="17">
        <v>26816</v>
      </c>
      <c r="B43" s="18"/>
      <c r="C43" s="19">
        <v>1534.2</v>
      </c>
      <c r="D43" s="19"/>
      <c r="E43" s="19"/>
      <c r="F43" s="19"/>
      <c r="G43" s="19"/>
      <c r="H43" s="19"/>
      <c r="I43" s="19"/>
      <c r="J43" s="19"/>
      <c r="K43" s="19"/>
      <c r="L43" s="19"/>
      <c r="M43" s="19"/>
      <c r="N43" s="19"/>
      <c r="O43" s="20"/>
      <c r="P43" s="1"/>
      <c r="Q43" s="1"/>
    </row>
    <row r="44" spans="1:17" x14ac:dyDescent="0.2">
      <c r="A44" s="17">
        <v>26846</v>
      </c>
      <c r="B44" s="18"/>
      <c r="C44" s="19">
        <v>1533.4</v>
      </c>
      <c r="D44" s="19"/>
      <c r="E44" s="19"/>
      <c r="F44" s="19"/>
      <c r="G44" s="19"/>
      <c r="H44" s="19"/>
      <c r="I44" s="19"/>
      <c r="J44" s="19"/>
      <c r="K44" s="19"/>
      <c r="L44" s="19"/>
      <c r="M44" s="19"/>
      <c r="N44" s="19"/>
      <c r="O44" s="20"/>
      <c r="P44" s="1"/>
      <c r="Q44" s="1"/>
    </row>
    <row r="45" spans="1:17" x14ac:dyDescent="0.2">
      <c r="A45" s="17">
        <v>26877</v>
      </c>
      <c r="B45" s="18"/>
      <c r="C45" s="19">
        <v>1534</v>
      </c>
      <c r="D45" s="19"/>
      <c r="E45" s="19"/>
      <c r="F45" s="19"/>
      <c r="G45" s="19"/>
      <c r="H45" s="19"/>
      <c r="I45" s="19"/>
      <c r="J45" s="19"/>
      <c r="K45" s="19"/>
      <c r="L45" s="19"/>
      <c r="M45" s="19"/>
      <c r="N45" s="19"/>
      <c r="O45" s="20"/>
      <c r="P45" s="1"/>
      <c r="Q45" s="1"/>
    </row>
    <row r="46" spans="1:17" x14ac:dyDescent="0.2">
      <c r="A46" s="17">
        <v>26908</v>
      </c>
      <c r="B46" s="18"/>
      <c r="C46" s="19">
        <v>1535</v>
      </c>
      <c r="D46" s="19"/>
      <c r="E46" s="19"/>
      <c r="F46" s="19"/>
      <c r="G46" s="19"/>
      <c r="H46" s="19"/>
      <c r="I46" s="19"/>
      <c r="J46" s="19"/>
      <c r="K46" s="19"/>
      <c r="L46" s="19"/>
      <c r="M46" s="19"/>
      <c r="N46" s="19"/>
      <c r="O46" s="20"/>
      <c r="P46" s="1"/>
      <c r="Q46" s="1"/>
    </row>
    <row r="47" spans="1:17" x14ac:dyDescent="0.2">
      <c r="A47" s="17">
        <v>26938</v>
      </c>
      <c r="B47" s="18"/>
      <c r="C47" s="19">
        <v>1533.6</v>
      </c>
      <c r="D47" s="19"/>
      <c r="E47" s="19"/>
      <c r="F47" s="19"/>
      <c r="G47" s="19"/>
      <c r="H47" s="19"/>
      <c r="I47" s="19"/>
      <c r="J47" s="19"/>
      <c r="K47" s="19"/>
      <c r="L47" s="19"/>
      <c r="M47" s="19"/>
      <c r="N47" s="19"/>
      <c r="O47" s="20"/>
      <c r="P47" s="1"/>
      <c r="Q47" s="1"/>
    </row>
    <row r="48" spans="1:17" x14ac:dyDescent="0.2">
      <c r="A48" s="17">
        <v>26969</v>
      </c>
      <c r="B48" s="18">
        <v>1283.8</v>
      </c>
      <c r="C48" s="19">
        <v>1535.2</v>
      </c>
      <c r="D48" s="19"/>
      <c r="E48" s="19"/>
      <c r="F48" s="19"/>
      <c r="G48" s="19"/>
      <c r="H48" s="19"/>
      <c r="I48" s="19"/>
      <c r="J48" s="19"/>
      <c r="K48" s="19"/>
      <c r="L48" s="19"/>
      <c r="M48" s="19"/>
      <c r="N48" s="19"/>
      <c r="O48" s="20"/>
      <c r="P48" s="1"/>
      <c r="Q48" s="1"/>
    </row>
    <row r="49" spans="1:17" x14ac:dyDescent="0.2">
      <c r="A49" s="17">
        <v>26999</v>
      </c>
      <c r="B49" s="18">
        <v>1288</v>
      </c>
      <c r="C49" s="19">
        <v>1534.2</v>
      </c>
      <c r="D49" s="19"/>
      <c r="E49" s="19"/>
      <c r="F49" s="19"/>
      <c r="G49" s="19"/>
      <c r="H49" s="19"/>
      <c r="I49" s="19"/>
      <c r="J49" s="19"/>
      <c r="K49" s="19"/>
      <c r="L49" s="19"/>
      <c r="M49" s="19"/>
      <c r="N49" s="19"/>
      <c r="O49" s="20"/>
      <c r="P49" s="1"/>
      <c r="Q49" s="1"/>
    </row>
    <row r="50" spans="1:17" x14ac:dyDescent="0.2">
      <c r="A50" s="17">
        <v>27030</v>
      </c>
      <c r="B50" s="18">
        <v>1286.8</v>
      </c>
      <c r="C50" s="19">
        <v>1534.9</v>
      </c>
      <c r="D50" s="19"/>
      <c r="E50" s="19"/>
      <c r="F50" s="19"/>
      <c r="G50" s="19"/>
      <c r="H50" s="19"/>
      <c r="I50" s="19"/>
      <c r="J50" s="19"/>
      <c r="K50" s="19"/>
      <c r="L50" s="19"/>
      <c r="M50" s="19"/>
      <c r="N50" s="19"/>
      <c r="O50" s="20"/>
      <c r="P50" s="1"/>
      <c r="Q50" s="1"/>
    </row>
    <row r="51" spans="1:17" x14ac:dyDescent="0.2">
      <c r="A51" s="17">
        <v>27061</v>
      </c>
      <c r="B51" s="18"/>
      <c r="C51" s="19">
        <v>1534.5</v>
      </c>
      <c r="D51" s="19"/>
      <c r="E51" s="19"/>
      <c r="F51" s="19"/>
      <c r="G51" s="19"/>
      <c r="H51" s="19"/>
      <c r="I51" s="19"/>
      <c r="J51" s="19"/>
      <c r="K51" s="19"/>
      <c r="L51" s="19"/>
      <c r="M51" s="19"/>
      <c r="N51" s="19"/>
      <c r="O51" s="20"/>
      <c r="P51" s="1"/>
      <c r="Q51" s="1"/>
    </row>
    <row r="52" spans="1:17" x14ac:dyDescent="0.2">
      <c r="A52" s="17">
        <v>27089</v>
      </c>
      <c r="B52" s="18">
        <v>1289.9000000000001</v>
      </c>
      <c r="C52" s="19">
        <v>1534.9</v>
      </c>
      <c r="D52" s="19"/>
      <c r="E52" s="19"/>
      <c r="F52" s="19"/>
      <c r="G52" s="19"/>
      <c r="H52" s="19"/>
      <c r="I52" s="19"/>
      <c r="J52" s="19"/>
      <c r="K52" s="19"/>
      <c r="L52" s="19"/>
      <c r="M52" s="19"/>
      <c r="N52" s="19"/>
      <c r="O52" s="20"/>
      <c r="P52" s="1"/>
      <c r="Q52" s="1"/>
    </row>
    <row r="53" spans="1:17" x14ac:dyDescent="0.2">
      <c r="A53" s="17">
        <v>27120</v>
      </c>
      <c r="B53" s="18">
        <v>1288.3</v>
      </c>
      <c r="C53" s="19"/>
      <c r="D53" s="19"/>
      <c r="E53" s="19"/>
      <c r="F53" s="19"/>
      <c r="G53" s="19"/>
      <c r="H53" s="19"/>
      <c r="I53" s="19"/>
      <c r="J53" s="19"/>
      <c r="K53" s="19"/>
      <c r="L53" s="19"/>
      <c r="M53" s="19"/>
      <c r="N53" s="19"/>
      <c r="O53" s="20"/>
      <c r="P53" s="1"/>
      <c r="Q53" s="1"/>
    </row>
    <row r="54" spans="1:17" x14ac:dyDescent="0.2">
      <c r="A54" s="17">
        <v>27150</v>
      </c>
      <c r="B54" s="18">
        <v>1289.0999999999999</v>
      </c>
      <c r="C54" s="19"/>
      <c r="D54" s="19"/>
      <c r="E54" s="19"/>
      <c r="F54" s="19"/>
      <c r="G54" s="19"/>
      <c r="H54" s="19"/>
      <c r="I54" s="19"/>
      <c r="J54" s="19"/>
      <c r="K54" s="19"/>
      <c r="L54" s="19"/>
      <c r="M54" s="19"/>
      <c r="N54" s="19"/>
      <c r="O54" s="20"/>
      <c r="P54" s="1"/>
      <c r="Q54" s="1"/>
    </row>
    <row r="55" spans="1:17" x14ac:dyDescent="0.2">
      <c r="A55" s="17">
        <v>27181</v>
      </c>
      <c r="B55" s="18"/>
      <c r="C55" s="19"/>
      <c r="D55" s="19"/>
      <c r="E55" s="19"/>
      <c r="F55" s="19"/>
      <c r="G55" s="19"/>
      <c r="H55" s="19"/>
      <c r="I55" s="19"/>
      <c r="J55" s="19"/>
      <c r="K55" s="19"/>
      <c r="L55" s="19"/>
      <c r="M55" s="19"/>
      <c r="N55" s="19"/>
      <c r="O55" s="20"/>
      <c r="P55" s="1"/>
      <c r="Q55" s="1"/>
    </row>
    <row r="56" spans="1:17" x14ac:dyDescent="0.2">
      <c r="A56" s="17">
        <v>27211</v>
      </c>
      <c r="B56" s="18"/>
      <c r="C56" s="19">
        <v>1526</v>
      </c>
      <c r="D56" s="19"/>
      <c r="E56" s="19"/>
      <c r="F56" s="19"/>
      <c r="G56" s="19"/>
      <c r="H56" s="19"/>
      <c r="I56" s="19"/>
      <c r="J56" s="19"/>
      <c r="K56" s="19"/>
      <c r="L56" s="19"/>
      <c r="M56" s="19"/>
      <c r="N56" s="19"/>
      <c r="O56" s="20"/>
      <c r="P56" s="1"/>
      <c r="Q56" s="1"/>
    </row>
    <row r="57" spans="1:17" x14ac:dyDescent="0.2">
      <c r="A57" s="17">
        <v>27242</v>
      </c>
      <c r="B57" s="18"/>
      <c r="C57" s="19">
        <v>1521.9</v>
      </c>
      <c r="D57" s="19"/>
      <c r="E57" s="19"/>
      <c r="F57" s="19"/>
      <c r="G57" s="19"/>
      <c r="H57" s="19"/>
      <c r="I57" s="19"/>
      <c r="J57" s="19"/>
      <c r="K57" s="19"/>
      <c r="L57" s="19"/>
      <c r="M57" s="19"/>
      <c r="N57" s="19"/>
      <c r="O57" s="20"/>
      <c r="P57" s="1"/>
      <c r="Q57" s="1"/>
    </row>
    <row r="58" spans="1:17" x14ac:dyDescent="0.2">
      <c r="A58" s="17">
        <v>27273</v>
      </c>
      <c r="B58" s="18">
        <v>1289.5999999999999</v>
      </c>
      <c r="C58" s="19">
        <v>1525.2</v>
      </c>
      <c r="D58" s="19"/>
      <c r="E58" s="19"/>
      <c r="F58" s="19"/>
      <c r="G58" s="19"/>
      <c r="H58" s="19"/>
      <c r="I58" s="19"/>
      <c r="J58" s="19"/>
      <c r="K58" s="19"/>
      <c r="L58" s="19"/>
      <c r="M58" s="19"/>
      <c r="N58" s="19"/>
      <c r="O58" s="20"/>
      <c r="P58" s="1"/>
      <c r="Q58" s="1"/>
    </row>
    <row r="59" spans="1:17" x14ac:dyDescent="0.2">
      <c r="A59" s="17">
        <v>27303</v>
      </c>
      <c r="B59" s="18">
        <v>1285.5</v>
      </c>
      <c r="C59" s="19">
        <v>1510.5</v>
      </c>
      <c r="D59" s="19"/>
      <c r="E59" s="19"/>
      <c r="F59" s="19"/>
      <c r="G59" s="19"/>
      <c r="H59" s="19"/>
      <c r="I59" s="19"/>
      <c r="J59" s="19"/>
      <c r="K59" s="19"/>
      <c r="L59" s="19"/>
      <c r="M59" s="19"/>
      <c r="N59" s="19"/>
      <c r="O59" s="20"/>
      <c r="P59" s="1"/>
      <c r="Q59" s="1"/>
    </row>
    <row r="60" spans="1:17" x14ac:dyDescent="0.2">
      <c r="A60" s="17">
        <v>27334</v>
      </c>
      <c r="B60" s="18">
        <v>1288.4000000000001</v>
      </c>
      <c r="C60" s="19">
        <v>1516.8</v>
      </c>
      <c r="D60" s="19"/>
      <c r="E60" s="19"/>
      <c r="F60" s="19"/>
      <c r="G60" s="19"/>
      <c r="H60" s="19"/>
      <c r="I60" s="19"/>
      <c r="J60" s="19"/>
      <c r="K60" s="19"/>
      <c r="L60" s="19"/>
      <c r="M60" s="19"/>
      <c r="N60" s="19"/>
      <c r="O60" s="20"/>
      <c r="P60" s="1"/>
      <c r="Q60" s="1"/>
    </row>
    <row r="61" spans="1:17" x14ac:dyDescent="0.2">
      <c r="A61" s="17">
        <v>27364</v>
      </c>
      <c r="B61" s="18">
        <v>1285.2</v>
      </c>
      <c r="C61" s="19">
        <v>1522.7</v>
      </c>
      <c r="D61" s="19"/>
      <c r="E61" s="19"/>
      <c r="F61" s="19"/>
      <c r="G61" s="19"/>
      <c r="H61" s="19"/>
      <c r="I61" s="19"/>
      <c r="J61" s="19"/>
      <c r="K61" s="19"/>
      <c r="L61" s="19"/>
      <c r="M61" s="19"/>
      <c r="N61" s="19"/>
      <c r="O61" s="20"/>
      <c r="P61" s="1"/>
      <c r="Q61" s="1"/>
    </row>
    <row r="62" spans="1:17" x14ac:dyDescent="0.2">
      <c r="A62" s="17">
        <v>27395</v>
      </c>
      <c r="B62" s="18"/>
      <c r="C62" s="19">
        <v>1520</v>
      </c>
      <c r="D62" s="19"/>
      <c r="E62" s="19"/>
      <c r="F62" s="19"/>
      <c r="G62" s="19"/>
      <c r="H62" s="19"/>
      <c r="I62" s="19"/>
      <c r="J62" s="19"/>
      <c r="K62" s="19"/>
      <c r="L62" s="19"/>
      <c r="M62" s="19"/>
      <c r="N62" s="19"/>
      <c r="O62" s="20"/>
      <c r="P62" s="1"/>
      <c r="Q62" s="1"/>
    </row>
    <row r="63" spans="1:17" x14ac:dyDescent="0.2">
      <c r="A63" s="17">
        <v>27426</v>
      </c>
      <c r="B63" s="18">
        <v>1290</v>
      </c>
      <c r="C63" s="19">
        <v>1522.6</v>
      </c>
      <c r="D63" s="19"/>
      <c r="E63" s="19"/>
      <c r="F63" s="19"/>
      <c r="G63" s="19"/>
      <c r="H63" s="19"/>
      <c r="I63" s="19"/>
      <c r="J63" s="19"/>
      <c r="K63" s="19"/>
      <c r="L63" s="19"/>
      <c r="M63" s="19"/>
      <c r="N63" s="19"/>
      <c r="O63" s="20"/>
      <c r="P63" s="1"/>
      <c r="Q63" s="1"/>
    </row>
    <row r="64" spans="1:17" x14ac:dyDescent="0.2">
      <c r="A64" s="17">
        <v>27454</v>
      </c>
      <c r="B64" s="18">
        <v>1291.5</v>
      </c>
      <c r="C64" s="19">
        <v>1524.7</v>
      </c>
      <c r="D64" s="19"/>
      <c r="E64" s="19"/>
      <c r="F64" s="19"/>
      <c r="G64" s="19"/>
      <c r="H64" s="19"/>
      <c r="I64" s="19"/>
      <c r="J64" s="19"/>
      <c r="K64" s="19"/>
      <c r="L64" s="19"/>
      <c r="M64" s="19"/>
      <c r="N64" s="19"/>
      <c r="O64" s="20"/>
      <c r="P64" s="1"/>
      <c r="Q64" s="1"/>
    </row>
    <row r="65" spans="1:17" x14ac:dyDescent="0.2">
      <c r="A65" s="17">
        <v>27485</v>
      </c>
      <c r="B65" s="18"/>
      <c r="C65" s="19"/>
      <c r="D65" s="19"/>
      <c r="E65" s="19"/>
      <c r="F65" s="19"/>
      <c r="G65" s="19"/>
      <c r="H65" s="19"/>
      <c r="I65" s="19"/>
      <c r="J65" s="19"/>
      <c r="K65" s="19"/>
      <c r="L65" s="19"/>
      <c r="M65" s="19"/>
      <c r="N65" s="19"/>
      <c r="O65" s="20"/>
      <c r="P65" s="1"/>
      <c r="Q65" s="1"/>
    </row>
    <row r="66" spans="1:17" x14ac:dyDescent="0.2">
      <c r="A66" s="17">
        <v>27515</v>
      </c>
      <c r="B66" s="18">
        <v>1294.3</v>
      </c>
      <c r="C66" s="19">
        <v>1523.6</v>
      </c>
      <c r="D66" s="19"/>
      <c r="E66" s="19"/>
      <c r="F66" s="19"/>
      <c r="G66" s="19"/>
      <c r="H66" s="19"/>
      <c r="I66" s="19"/>
      <c r="J66" s="19"/>
      <c r="K66" s="19"/>
      <c r="L66" s="19"/>
      <c r="M66" s="19"/>
      <c r="N66" s="19"/>
      <c r="O66" s="20"/>
      <c r="P66" s="1"/>
      <c r="Q66" s="1"/>
    </row>
    <row r="67" spans="1:17" x14ac:dyDescent="0.2">
      <c r="A67" s="17">
        <v>27546</v>
      </c>
      <c r="B67" s="18"/>
      <c r="C67" s="19">
        <v>1518.9</v>
      </c>
      <c r="D67" s="19"/>
      <c r="E67" s="19"/>
      <c r="F67" s="19"/>
      <c r="G67" s="19"/>
      <c r="H67" s="19"/>
      <c r="I67" s="19"/>
      <c r="J67" s="19"/>
      <c r="K67" s="19"/>
      <c r="L67" s="19"/>
      <c r="M67" s="19"/>
      <c r="N67" s="19"/>
      <c r="O67" s="20"/>
      <c r="P67" s="1"/>
      <c r="Q67" s="1"/>
    </row>
    <row r="68" spans="1:17" x14ac:dyDescent="0.2">
      <c r="A68" s="17">
        <v>27576</v>
      </c>
      <c r="B68" s="18">
        <v>1291.5999999999999</v>
      </c>
      <c r="C68" s="19"/>
      <c r="D68" s="19"/>
      <c r="E68" s="19"/>
      <c r="F68" s="19"/>
      <c r="G68" s="19"/>
      <c r="H68" s="19"/>
      <c r="I68" s="19"/>
      <c r="J68" s="19"/>
      <c r="K68" s="19"/>
      <c r="L68" s="19"/>
      <c r="M68" s="19"/>
      <c r="N68" s="19"/>
      <c r="O68" s="20"/>
      <c r="P68" s="1"/>
      <c r="Q68" s="1"/>
    </row>
    <row r="69" spans="1:17" x14ac:dyDescent="0.2">
      <c r="A69" s="17">
        <v>27607</v>
      </c>
      <c r="B69" s="18">
        <v>1290.0999999999999</v>
      </c>
      <c r="C69" s="19"/>
      <c r="D69" s="19"/>
      <c r="E69" s="19"/>
      <c r="F69" s="19"/>
      <c r="G69" s="19"/>
      <c r="H69" s="19"/>
      <c r="I69" s="19"/>
      <c r="J69" s="19"/>
      <c r="K69" s="19"/>
      <c r="L69" s="19"/>
      <c r="M69" s="19"/>
      <c r="N69" s="19"/>
      <c r="O69" s="20"/>
      <c r="P69" s="1"/>
      <c r="Q69" s="1"/>
    </row>
    <row r="70" spans="1:17" x14ac:dyDescent="0.2">
      <c r="A70" s="17">
        <v>27638</v>
      </c>
      <c r="B70" s="18">
        <v>1287.5</v>
      </c>
      <c r="C70" s="19"/>
      <c r="D70" s="19"/>
      <c r="E70" s="19"/>
      <c r="F70" s="19"/>
      <c r="G70" s="19"/>
      <c r="H70" s="19"/>
      <c r="I70" s="19"/>
      <c r="J70" s="19"/>
      <c r="K70" s="19"/>
      <c r="L70" s="19"/>
      <c r="M70" s="19"/>
      <c r="N70" s="19"/>
      <c r="O70" s="20"/>
      <c r="P70" s="1"/>
      <c r="Q70" s="1"/>
    </row>
    <row r="71" spans="1:17" x14ac:dyDescent="0.2">
      <c r="A71" s="17">
        <v>27668</v>
      </c>
      <c r="B71" s="18">
        <v>1300.5</v>
      </c>
      <c r="C71" s="19"/>
      <c r="D71" s="19"/>
      <c r="E71" s="19"/>
      <c r="F71" s="19"/>
      <c r="G71" s="19"/>
      <c r="H71" s="19"/>
      <c r="I71" s="19"/>
      <c r="J71" s="19"/>
      <c r="K71" s="19"/>
      <c r="L71" s="19"/>
      <c r="M71" s="19"/>
      <c r="N71" s="19"/>
      <c r="O71" s="20"/>
      <c r="P71" s="1"/>
      <c r="Q71" s="1"/>
    </row>
    <row r="72" spans="1:17" x14ac:dyDescent="0.2">
      <c r="A72" s="17">
        <v>27699</v>
      </c>
      <c r="B72" s="18">
        <v>1289.5</v>
      </c>
      <c r="C72" s="19"/>
      <c r="D72" s="19"/>
      <c r="E72" s="19"/>
      <c r="F72" s="19"/>
      <c r="G72" s="19"/>
      <c r="H72" s="19"/>
      <c r="I72" s="19"/>
      <c r="J72" s="19"/>
      <c r="K72" s="19"/>
      <c r="L72" s="19"/>
      <c r="M72" s="19"/>
      <c r="N72" s="19"/>
      <c r="O72" s="20"/>
      <c r="P72" s="1"/>
      <c r="Q72" s="1"/>
    </row>
    <row r="73" spans="1:17" x14ac:dyDescent="0.2">
      <c r="A73" s="17">
        <v>27729</v>
      </c>
      <c r="B73" s="18">
        <v>1296.4000000000001</v>
      </c>
      <c r="C73" s="19"/>
      <c r="D73" s="19"/>
      <c r="E73" s="19"/>
      <c r="F73" s="19"/>
      <c r="G73" s="19"/>
      <c r="H73" s="19"/>
      <c r="I73" s="19"/>
      <c r="J73" s="19"/>
      <c r="K73" s="19"/>
      <c r="L73" s="19"/>
      <c r="M73" s="19"/>
      <c r="N73" s="19"/>
      <c r="O73" s="20"/>
      <c r="P73" s="1"/>
      <c r="Q73" s="1"/>
    </row>
    <row r="74" spans="1:17" x14ac:dyDescent="0.2">
      <c r="A74" s="17">
        <v>27760</v>
      </c>
      <c r="B74" s="18"/>
      <c r="C74" s="19"/>
      <c r="D74" s="19"/>
      <c r="E74" s="19"/>
      <c r="F74" s="19"/>
      <c r="G74" s="19"/>
      <c r="H74" s="19"/>
      <c r="I74" s="19"/>
      <c r="J74" s="19"/>
      <c r="K74" s="19"/>
      <c r="L74" s="19"/>
      <c r="M74" s="19"/>
      <c r="N74" s="19"/>
      <c r="O74" s="20"/>
      <c r="P74" s="1"/>
      <c r="Q74" s="1"/>
    </row>
    <row r="75" spans="1:17" x14ac:dyDescent="0.2">
      <c r="A75" s="17">
        <v>27791</v>
      </c>
      <c r="B75" s="18"/>
      <c r="C75" s="19"/>
      <c r="D75" s="19"/>
      <c r="E75" s="19"/>
      <c r="F75" s="19"/>
      <c r="G75" s="19"/>
      <c r="H75" s="19"/>
      <c r="I75" s="19"/>
      <c r="J75" s="19"/>
      <c r="K75" s="19"/>
      <c r="L75" s="19"/>
      <c r="M75" s="19"/>
      <c r="N75" s="19"/>
      <c r="O75" s="20"/>
      <c r="P75" s="1"/>
      <c r="Q75" s="1"/>
    </row>
    <row r="76" spans="1:17" x14ac:dyDescent="0.2">
      <c r="A76" s="17">
        <v>27820</v>
      </c>
      <c r="B76" s="18">
        <v>1296.4000000000001</v>
      </c>
      <c r="C76" s="19">
        <v>1517.4</v>
      </c>
      <c r="D76" s="19"/>
      <c r="E76" s="19"/>
      <c r="F76" s="19"/>
      <c r="G76" s="19"/>
      <c r="H76" s="19"/>
      <c r="I76" s="19"/>
      <c r="J76" s="19"/>
      <c r="K76" s="19"/>
      <c r="L76" s="19"/>
      <c r="M76" s="19"/>
      <c r="N76" s="19"/>
      <c r="O76" s="20"/>
      <c r="P76" s="1"/>
      <c r="Q76" s="1"/>
    </row>
    <row r="77" spans="1:17" x14ac:dyDescent="0.2">
      <c r="A77" s="17">
        <v>27851</v>
      </c>
      <c r="B77" s="18">
        <v>1296.4000000000001</v>
      </c>
      <c r="C77" s="19">
        <v>1517.5</v>
      </c>
      <c r="D77" s="19"/>
      <c r="E77" s="19"/>
      <c r="F77" s="19"/>
      <c r="G77" s="19"/>
      <c r="H77" s="19"/>
      <c r="I77" s="19"/>
      <c r="J77" s="19"/>
      <c r="K77" s="19"/>
      <c r="L77" s="19"/>
      <c r="M77" s="19"/>
      <c r="N77" s="19"/>
      <c r="O77" s="20"/>
      <c r="P77" s="1"/>
      <c r="Q77" s="1"/>
    </row>
    <row r="78" spans="1:17" x14ac:dyDescent="0.2">
      <c r="A78" s="17">
        <v>27881</v>
      </c>
      <c r="B78" s="18">
        <v>1296.9000000000001</v>
      </c>
      <c r="C78" s="19"/>
      <c r="D78" s="19"/>
      <c r="E78" s="19"/>
      <c r="F78" s="19"/>
      <c r="G78" s="19"/>
      <c r="H78" s="19"/>
      <c r="I78" s="19"/>
      <c r="J78" s="19"/>
      <c r="K78" s="19"/>
      <c r="L78" s="19"/>
      <c r="M78" s="19"/>
      <c r="N78" s="19"/>
      <c r="O78" s="20"/>
      <c r="P78" s="1"/>
      <c r="Q78" s="1"/>
    </row>
    <row r="79" spans="1:17" x14ac:dyDescent="0.2">
      <c r="A79" s="17">
        <v>27912</v>
      </c>
      <c r="B79" s="18"/>
      <c r="C79" s="19"/>
      <c r="D79" s="19"/>
      <c r="E79" s="19"/>
      <c r="F79" s="19"/>
      <c r="G79" s="19"/>
      <c r="H79" s="19"/>
      <c r="I79" s="19"/>
      <c r="J79" s="19"/>
      <c r="K79" s="19"/>
      <c r="L79" s="19"/>
      <c r="M79" s="19"/>
      <c r="N79" s="19"/>
      <c r="O79" s="20"/>
      <c r="P79" s="1"/>
      <c r="Q79" s="1"/>
    </row>
    <row r="80" spans="1:17" x14ac:dyDescent="0.2">
      <c r="A80" s="17">
        <v>27942</v>
      </c>
      <c r="B80" s="18"/>
      <c r="C80" s="19">
        <v>1518</v>
      </c>
      <c r="D80" s="19"/>
      <c r="E80" s="19"/>
      <c r="F80" s="19"/>
      <c r="G80" s="19"/>
      <c r="H80" s="19"/>
      <c r="I80" s="19"/>
      <c r="J80" s="19"/>
      <c r="K80" s="19"/>
      <c r="L80" s="19"/>
      <c r="M80" s="19"/>
      <c r="N80" s="19"/>
      <c r="O80" s="20"/>
      <c r="P80" s="1"/>
      <c r="Q80" s="1"/>
    </row>
    <row r="81" spans="1:17" x14ac:dyDescent="0.2">
      <c r="A81" s="17">
        <v>27973</v>
      </c>
      <c r="B81" s="18">
        <v>1290</v>
      </c>
      <c r="C81" s="19"/>
      <c r="D81" s="19"/>
      <c r="E81" s="19"/>
      <c r="F81" s="19"/>
      <c r="G81" s="19"/>
      <c r="H81" s="19"/>
      <c r="I81" s="19"/>
      <c r="J81" s="19"/>
      <c r="K81" s="19"/>
      <c r="L81" s="19"/>
      <c r="M81" s="19"/>
      <c r="N81" s="19"/>
      <c r="O81" s="20"/>
      <c r="P81" s="1"/>
      <c r="Q81" s="1"/>
    </row>
    <row r="82" spans="1:17" x14ac:dyDescent="0.2">
      <c r="A82" s="17">
        <v>28004</v>
      </c>
      <c r="B82" s="18">
        <v>1293.8</v>
      </c>
      <c r="C82" s="19"/>
      <c r="D82" s="19"/>
      <c r="E82" s="19"/>
      <c r="F82" s="19"/>
      <c r="G82" s="19"/>
      <c r="H82" s="19"/>
      <c r="I82" s="19"/>
      <c r="J82" s="19"/>
      <c r="K82" s="19"/>
      <c r="L82" s="19"/>
      <c r="M82" s="19"/>
      <c r="N82" s="19"/>
      <c r="O82" s="20"/>
      <c r="P82" s="1"/>
      <c r="Q82" s="1"/>
    </row>
    <row r="83" spans="1:17" x14ac:dyDescent="0.2">
      <c r="A83" s="17">
        <v>28034</v>
      </c>
      <c r="B83" s="18">
        <v>1297.2</v>
      </c>
      <c r="C83" s="19"/>
      <c r="D83" s="19"/>
      <c r="E83" s="19"/>
      <c r="F83" s="19"/>
      <c r="G83" s="19"/>
      <c r="H83" s="19"/>
      <c r="I83" s="19"/>
      <c r="J83" s="19"/>
      <c r="K83" s="19"/>
      <c r="L83" s="19"/>
      <c r="M83" s="19"/>
      <c r="N83" s="19"/>
      <c r="O83" s="20"/>
      <c r="P83" s="1"/>
      <c r="Q83" s="1"/>
    </row>
    <row r="84" spans="1:17" x14ac:dyDescent="0.2">
      <c r="A84" s="17">
        <v>28065</v>
      </c>
      <c r="B84" s="18">
        <v>1301.9000000000001</v>
      </c>
      <c r="C84" s="19">
        <v>1522.9</v>
      </c>
      <c r="D84" s="19"/>
      <c r="E84" s="19"/>
      <c r="F84" s="19"/>
      <c r="G84" s="19"/>
      <c r="H84" s="19"/>
      <c r="I84" s="19"/>
      <c r="J84" s="19"/>
      <c r="K84" s="19"/>
      <c r="L84" s="19"/>
      <c r="M84" s="19"/>
      <c r="N84" s="19"/>
      <c r="O84" s="20"/>
      <c r="P84" s="1"/>
      <c r="Q84" s="1"/>
    </row>
    <row r="85" spans="1:17" x14ac:dyDescent="0.2">
      <c r="A85" s="17">
        <v>28095</v>
      </c>
      <c r="B85" s="18">
        <v>1303.3</v>
      </c>
      <c r="C85" s="19">
        <v>1524.4</v>
      </c>
      <c r="D85" s="19"/>
      <c r="E85" s="19"/>
      <c r="F85" s="19"/>
      <c r="G85" s="19"/>
      <c r="H85" s="19"/>
      <c r="I85" s="19"/>
      <c r="J85" s="19"/>
      <c r="K85" s="19"/>
      <c r="L85" s="19"/>
      <c r="M85" s="19"/>
      <c r="N85" s="19"/>
      <c r="O85" s="20"/>
      <c r="P85" s="1"/>
      <c r="Q85" s="1"/>
    </row>
    <row r="86" spans="1:17" x14ac:dyDescent="0.2">
      <c r="A86" s="17">
        <v>28126</v>
      </c>
      <c r="B86" s="18">
        <v>1307.5999999999999</v>
      </c>
      <c r="C86" s="19">
        <v>1528.2</v>
      </c>
      <c r="D86" s="19"/>
      <c r="E86" s="19"/>
      <c r="F86" s="19"/>
      <c r="G86" s="19"/>
      <c r="H86" s="19"/>
      <c r="I86" s="19"/>
      <c r="J86" s="19"/>
      <c r="K86" s="19"/>
      <c r="L86" s="19"/>
      <c r="M86" s="19"/>
      <c r="N86" s="19"/>
      <c r="O86" s="20"/>
      <c r="P86" s="1"/>
      <c r="Q86" s="1"/>
    </row>
    <row r="87" spans="1:17" x14ac:dyDescent="0.2">
      <c r="A87" s="17">
        <v>28157</v>
      </c>
      <c r="B87" s="18">
        <v>1308.3</v>
      </c>
      <c r="C87" s="19">
        <v>1527</v>
      </c>
      <c r="D87" s="19"/>
      <c r="E87" s="19"/>
      <c r="F87" s="19"/>
      <c r="G87" s="19"/>
      <c r="H87" s="19"/>
      <c r="I87" s="19"/>
      <c r="J87" s="19"/>
      <c r="K87" s="19"/>
      <c r="L87" s="19"/>
      <c r="M87" s="19"/>
      <c r="N87" s="19"/>
      <c r="O87" s="20"/>
      <c r="P87" s="1"/>
      <c r="Q87" s="1"/>
    </row>
    <row r="88" spans="1:17" x14ac:dyDescent="0.2">
      <c r="A88" s="17">
        <v>28185</v>
      </c>
      <c r="B88" s="18">
        <v>1297.2</v>
      </c>
      <c r="C88" s="19">
        <v>1529.7</v>
      </c>
      <c r="D88" s="19"/>
      <c r="E88" s="19"/>
      <c r="F88" s="19"/>
      <c r="G88" s="19"/>
      <c r="H88" s="19"/>
      <c r="I88" s="19"/>
      <c r="J88" s="19"/>
      <c r="K88" s="19"/>
      <c r="L88" s="19"/>
      <c r="M88" s="19"/>
      <c r="N88" s="19"/>
      <c r="O88" s="20"/>
      <c r="P88" s="1"/>
      <c r="Q88" s="1"/>
    </row>
    <row r="89" spans="1:17" x14ac:dyDescent="0.2">
      <c r="A89" s="17">
        <v>28216</v>
      </c>
      <c r="B89" s="18">
        <v>1307.9000000000001</v>
      </c>
      <c r="C89" s="19">
        <v>1528</v>
      </c>
      <c r="D89" s="19"/>
      <c r="E89" s="19"/>
      <c r="F89" s="19"/>
      <c r="G89" s="19"/>
      <c r="H89" s="19"/>
      <c r="I89" s="19"/>
      <c r="J89" s="19"/>
      <c r="K89" s="19"/>
      <c r="L89" s="19"/>
      <c r="M89" s="19"/>
      <c r="N89" s="19"/>
      <c r="O89" s="20"/>
      <c r="P89" s="1"/>
      <c r="Q89" s="1"/>
    </row>
    <row r="90" spans="1:17" x14ac:dyDescent="0.2">
      <c r="A90" s="17">
        <v>28246</v>
      </c>
      <c r="B90" s="18">
        <v>1309.8</v>
      </c>
      <c r="C90" s="19">
        <v>1529</v>
      </c>
      <c r="D90" s="19"/>
      <c r="E90" s="19"/>
      <c r="F90" s="19"/>
      <c r="G90" s="19"/>
      <c r="H90" s="19"/>
      <c r="I90" s="19"/>
      <c r="J90" s="19"/>
      <c r="K90" s="19"/>
      <c r="L90" s="19"/>
      <c r="M90" s="19"/>
      <c r="N90" s="19"/>
      <c r="O90" s="20"/>
      <c r="P90" s="1"/>
      <c r="Q90" s="1"/>
    </row>
    <row r="91" spans="1:17" x14ac:dyDescent="0.2">
      <c r="A91" s="17">
        <v>28277</v>
      </c>
      <c r="B91" s="18">
        <v>1291.9000000000001</v>
      </c>
      <c r="C91" s="19">
        <v>1526.5</v>
      </c>
      <c r="D91" s="19"/>
      <c r="E91" s="19"/>
      <c r="F91" s="19"/>
      <c r="G91" s="19"/>
      <c r="H91" s="19"/>
      <c r="I91" s="19"/>
      <c r="J91" s="19"/>
      <c r="K91" s="19"/>
      <c r="L91" s="19"/>
      <c r="M91" s="19"/>
      <c r="N91" s="19"/>
      <c r="O91" s="20"/>
      <c r="P91" s="1"/>
      <c r="Q91" s="1"/>
    </row>
    <row r="92" spans="1:17" x14ac:dyDescent="0.2">
      <c r="A92" s="17">
        <v>28307</v>
      </c>
      <c r="B92" s="18">
        <v>1309.8</v>
      </c>
      <c r="C92" s="19">
        <v>1530.8</v>
      </c>
      <c r="D92" s="19"/>
      <c r="E92" s="19"/>
      <c r="F92" s="19"/>
      <c r="G92" s="19"/>
      <c r="H92" s="19"/>
      <c r="I92" s="19"/>
      <c r="J92" s="19"/>
      <c r="K92" s="19"/>
      <c r="L92" s="19"/>
      <c r="M92" s="19"/>
      <c r="N92" s="19"/>
      <c r="O92" s="20"/>
      <c r="P92" s="1"/>
      <c r="Q92" s="1"/>
    </row>
    <row r="93" spans="1:17" x14ac:dyDescent="0.2">
      <c r="A93" s="17">
        <v>28338</v>
      </c>
      <c r="B93" s="18">
        <v>1308.3</v>
      </c>
      <c r="C93" s="19">
        <v>1531.5</v>
      </c>
      <c r="D93" s="19"/>
      <c r="E93" s="19"/>
      <c r="F93" s="19"/>
      <c r="G93" s="19"/>
      <c r="H93" s="19"/>
      <c r="I93" s="19"/>
      <c r="J93" s="19"/>
      <c r="K93" s="19"/>
      <c r="L93" s="19"/>
      <c r="M93" s="19"/>
      <c r="N93" s="19"/>
      <c r="O93" s="20"/>
      <c r="P93" s="1"/>
      <c r="Q93" s="1"/>
    </row>
    <row r="94" spans="1:17" x14ac:dyDescent="0.2">
      <c r="A94" s="17">
        <v>28369</v>
      </c>
      <c r="B94" s="18"/>
      <c r="C94" s="19"/>
      <c r="D94" s="19"/>
      <c r="E94" s="19"/>
      <c r="F94" s="19"/>
      <c r="G94" s="19"/>
      <c r="H94" s="19"/>
      <c r="I94" s="19"/>
      <c r="J94" s="19"/>
      <c r="K94" s="19"/>
      <c r="L94" s="19"/>
      <c r="M94" s="19"/>
      <c r="N94" s="19"/>
      <c r="O94" s="20"/>
      <c r="P94" s="1"/>
      <c r="Q94" s="1"/>
    </row>
    <row r="95" spans="1:17" x14ac:dyDescent="0.2">
      <c r="A95" s="17">
        <v>28399</v>
      </c>
      <c r="B95" s="18">
        <v>1308.5999999999999</v>
      </c>
      <c r="C95" s="19">
        <v>1530.6</v>
      </c>
      <c r="D95" s="19"/>
      <c r="E95" s="19"/>
      <c r="F95" s="19"/>
      <c r="G95" s="19"/>
      <c r="H95" s="19"/>
      <c r="I95" s="19"/>
      <c r="J95" s="19"/>
      <c r="K95" s="19"/>
      <c r="L95" s="19"/>
      <c r="M95" s="19"/>
      <c r="N95" s="19"/>
      <c r="O95" s="20"/>
      <c r="P95" s="1"/>
      <c r="Q95" s="1"/>
    </row>
    <row r="96" spans="1:17" x14ac:dyDescent="0.2">
      <c r="A96" s="17">
        <v>28430</v>
      </c>
      <c r="B96" s="18">
        <v>1309</v>
      </c>
      <c r="C96" s="19">
        <v>1528.6</v>
      </c>
      <c r="D96" s="19"/>
      <c r="E96" s="19"/>
      <c r="F96" s="19"/>
      <c r="G96" s="19"/>
      <c r="H96" s="19"/>
      <c r="I96" s="19"/>
      <c r="J96" s="19"/>
      <c r="K96" s="19"/>
      <c r="L96" s="19"/>
      <c r="M96" s="19"/>
      <c r="N96" s="19"/>
      <c r="O96" s="20"/>
      <c r="P96" s="1"/>
      <c r="Q96" s="1"/>
    </row>
    <row r="97" spans="1:17" x14ac:dyDescent="0.2">
      <c r="A97" s="17">
        <v>28460</v>
      </c>
      <c r="B97" s="18">
        <v>1307.7</v>
      </c>
      <c r="C97" s="19">
        <v>1529.9</v>
      </c>
      <c r="D97" s="19"/>
      <c r="E97" s="19"/>
      <c r="F97" s="19"/>
      <c r="G97" s="19"/>
      <c r="H97" s="19"/>
      <c r="I97" s="19"/>
      <c r="J97" s="19"/>
      <c r="K97" s="19"/>
      <c r="L97" s="19"/>
      <c r="M97" s="19"/>
      <c r="N97" s="19"/>
      <c r="O97" s="20"/>
      <c r="P97" s="1"/>
      <c r="Q97" s="1"/>
    </row>
    <row r="98" spans="1:17" x14ac:dyDescent="0.2">
      <c r="A98" s="17">
        <v>28491</v>
      </c>
      <c r="B98" s="18">
        <v>1309.7</v>
      </c>
      <c r="C98" s="19">
        <v>1530.8</v>
      </c>
      <c r="D98" s="19"/>
      <c r="E98" s="19"/>
      <c r="F98" s="19"/>
      <c r="G98" s="19"/>
      <c r="H98" s="19"/>
      <c r="I98" s="19"/>
      <c r="J98" s="19"/>
      <c r="K98" s="19"/>
      <c r="L98" s="19"/>
      <c r="M98" s="19"/>
      <c r="N98" s="19"/>
      <c r="O98" s="20"/>
      <c r="P98" s="1"/>
      <c r="Q98" s="1"/>
    </row>
    <row r="99" spans="1:17" x14ac:dyDescent="0.2">
      <c r="A99" s="17">
        <v>28522</v>
      </c>
      <c r="B99" s="18">
        <v>1312.3</v>
      </c>
      <c r="C99" s="19">
        <v>1532.6</v>
      </c>
      <c r="D99" s="19"/>
      <c r="E99" s="19"/>
      <c r="F99" s="19"/>
      <c r="G99" s="19"/>
      <c r="H99" s="19"/>
      <c r="I99" s="19"/>
      <c r="J99" s="19"/>
      <c r="K99" s="19"/>
      <c r="L99" s="19"/>
      <c r="M99" s="19"/>
      <c r="N99" s="19"/>
      <c r="O99" s="20"/>
      <c r="P99" s="1"/>
      <c r="Q99" s="1"/>
    </row>
    <row r="100" spans="1:17" x14ac:dyDescent="0.2">
      <c r="A100" s="17">
        <v>28550</v>
      </c>
      <c r="B100" s="18">
        <v>1315.7</v>
      </c>
      <c r="C100" s="19">
        <v>1537.7</v>
      </c>
      <c r="D100" s="19"/>
      <c r="E100" s="19"/>
      <c r="F100" s="19"/>
      <c r="G100" s="19"/>
      <c r="H100" s="19"/>
      <c r="I100" s="19"/>
      <c r="J100" s="19"/>
      <c r="K100" s="19"/>
      <c r="L100" s="19"/>
      <c r="M100" s="19"/>
      <c r="N100" s="19"/>
      <c r="O100" s="20"/>
      <c r="P100" s="1"/>
      <c r="Q100" s="1"/>
    </row>
    <row r="101" spans="1:17" x14ac:dyDescent="0.2">
      <c r="A101" s="17">
        <v>28581</v>
      </c>
      <c r="B101" s="18">
        <v>1315.5</v>
      </c>
      <c r="C101" s="19">
        <v>1537.7</v>
      </c>
      <c r="D101" s="19"/>
      <c r="E101" s="19"/>
      <c r="F101" s="19"/>
      <c r="G101" s="19"/>
      <c r="H101" s="19"/>
      <c r="I101" s="19"/>
      <c r="J101" s="19"/>
      <c r="K101" s="19"/>
      <c r="L101" s="19"/>
      <c r="M101" s="19"/>
      <c r="N101" s="19"/>
      <c r="O101" s="20"/>
      <c r="P101" s="1"/>
      <c r="Q101" s="1"/>
    </row>
    <row r="102" spans="1:17" x14ac:dyDescent="0.2">
      <c r="A102" s="17">
        <v>28611</v>
      </c>
      <c r="B102" s="18">
        <v>1313.5</v>
      </c>
      <c r="C102" s="19">
        <v>1544.4</v>
      </c>
      <c r="D102" s="19"/>
      <c r="E102" s="19"/>
      <c r="F102" s="19"/>
      <c r="G102" s="19"/>
      <c r="H102" s="19"/>
      <c r="I102" s="19"/>
      <c r="J102" s="19"/>
      <c r="K102" s="19"/>
      <c r="L102" s="19"/>
      <c r="M102" s="19"/>
      <c r="N102" s="19"/>
      <c r="O102" s="20"/>
      <c r="P102" s="1"/>
      <c r="Q102" s="1"/>
    </row>
    <row r="103" spans="1:17" x14ac:dyDescent="0.2">
      <c r="A103" s="17">
        <v>28642</v>
      </c>
      <c r="B103" s="18">
        <v>1309.8</v>
      </c>
      <c r="C103" s="19">
        <v>1538.9</v>
      </c>
      <c r="D103" s="19"/>
      <c r="E103" s="19"/>
      <c r="F103" s="19"/>
      <c r="G103" s="19"/>
      <c r="H103" s="19"/>
      <c r="I103" s="19"/>
      <c r="J103" s="19"/>
      <c r="K103" s="19"/>
      <c r="L103" s="19"/>
      <c r="M103" s="19"/>
      <c r="N103" s="19"/>
      <c r="O103" s="20"/>
      <c r="P103" s="1"/>
      <c r="Q103" s="1"/>
    </row>
    <row r="104" spans="1:17" x14ac:dyDescent="0.2">
      <c r="A104" s="17">
        <v>28672</v>
      </c>
      <c r="B104" s="18">
        <v>1310</v>
      </c>
      <c r="C104" s="19">
        <v>1539</v>
      </c>
      <c r="D104" s="19"/>
      <c r="E104" s="19"/>
      <c r="F104" s="19"/>
      <c r="G104" s="19"/>
      <c r="H104" s="19"/>
      <c r="I104" s="19"/>
      <c r="J104" s="19"/>
      <c r="K104" s="19"/>
      <c r="L104" s="19"/>
      <c r="M104" s="19"/>
      <c r="N104" s="19"/>
      <c r="O104" s="20"/>
      <c r="P104" s="1"/>
      <c r="Q104" s="1"/>
    </row>
    <row r="105" spans="1:17" x14ac:dyDescent="0.2">
      <c r="A105" s="17">
        <v>28703</v>
      </c>
      <c r="B105" s="18">
        <v>1312.2</v>
      </c>
      <c r="C105" s="19">
        <v>1545.4</v>
      </c>
      <c r="D105" s="19"/>
      <c r="E105" s="19"/>
      <c r="F105" s="19"/>
      <c r="G105" s="19"/>
      <c r="H105" s="19"/>
      <c r="I105" s="19"/>
      <c r="J105" s="19"/>
      <c r="K105" s="19"/>
      <c r="L105" s="19"/>
      <c r="M105" s="19"/>
      <c r="N105" s="19"/>
      <c r="O105" s="20"/>
      <c r="P105" s="1"/>
      <c r="Q105" s="1"/>
    </row>
    <row r="106" spans="1:17" x14ac:dyDescent="0.2">
      <c r="A106" s="17">
        <v>28734</v>
      </c>
      <c r="B106" s="18">
        <v>1312.2</v>
      </c>
      <c r="C106" s="19">
        <v>1539</v>
      </c>
      <c r="D106" s="19"/>
      <c r="E106" s="19"/>
      <c r="F106" s="19"/>
      <c r="G106" s="19"/>
      <c r="H106" s="19"/>
      <c r="I106" s="19"/>
      <c r="J106" s="19"/>
      <c r="K106" s="19"/>
      <c r="L106" s="19"/>
      <c r="M106" s="19"/>
      <c r="N106" s="19"/>
      <c r="O106" s="20"/>
      <c r="P106" s="1"/>
      <c r="Q106" s="1"/>
    </row>
    <row r="107" spans="1:17" x14ac:dyDescent="0.2">
      <c r="A107" s="17">
        <v>28764</v>
      </c>
      <c r="B107" s="18">
        <v>1316.1</v>
      </c>
      <c r="C107" s="19">
        <v>1544.5</v>
      </c>
      <c r="D107" s="19"/>
      <c r="E107" s="19"/>
      <c r="F107" s="19"/>
      <c r="G107" s="19"/>
      <c r="H107" s="19"/>
      <c r="I107" s="19"/>
      <c r="J107" s="19"/>
      <c r="K107" s="19"/>
      <c r="L107" s="19"/>
      <c r="M107" s="19"/>
      <c r="N107" s="19"/>
      <c r="O107" s="20"/>
      <c r="P107" s="1"/>
      <c r="Q107" s="1"/>
    </row>
    <row r="108" spans="1:17" x14ac:dyDescent="0.2">
      <c r="A108" s="17">
        <v>28795</v>
      </c>
      <c r="B108" s="18">
        <v>1317.9</v>
      </c>
      <c r="C108" s="19">
        <v>1543.3</v>
      </c>
      <c r="D108" s="19"/>
      <c r="E108" s="19"/>
      <c r="F108" s="19"/>
      <c r="G108" s="19"/>
      <c r="H108" s="19"/>
      <c r="I108" s="19"/>
      <c r="J108" s="19"/>
      <c r="K108" s="19"/>
      <c r="L108" s="19"/>
      <c r="M108" s="19"/>
      <c r="N108" s="19"/>
      <c r="O108" s="20"/>
      <c r="P108" s="1"/>
      <c r="Q108" s="1"/>
    </row>
    <row r="109" spans="1:17" x14ac:dyDescent="0.2">
      <c r="A109" s="17">
        <v>28825</v>
      </c>
      <c r="B109" s="18">
        <v>1318.6</v>
      </c>
      <c r="C109" s="19">
        <v>1542.6</v>
      </c>
      <c r="D109" s="19"/>
      <c r="E109" s="19"/>
      <c r="F109" s="19"/>
      <c r="G109" s="19"/>
      <c r="H109" s="19"/>
      <c r="I109" s="19"/>
      <c r="J109" s="19"/>
      <c r="K109" s="19"/>
      <c r="L109" s="19"/>
      <c r="M109" s="19"/>
      <c r="N109" s="19"/>
      <c r="O109" s="20"/>
      <c r="P109" s="1"/>
      <c r="Q109" s="1"/>
    </row>
    <row r="110" spans="1:17" x14ac:dyDescent="0.2">
      <c r="A110" s="17">
        <v>28856</v>
      </c>
      <c r="B110" s="18">
        <v>1320.9</v>
      </c>
      <c r="C110" s="19">
        <v>1542.8</v>
      </c>
      <c r="D110" s="19"/>
      <c r="E110" s="19"/>
      <c r="F110" s="19"/>
      <c r="G110" s="19"/>
      <c r="H110" s="19"/>
      <c r="I110" s="19"/>
      <c r="J110" s="19"/>
      <c r="K110" s="19"/>
      <c r="L110" s="19"/>
      <c r="M110" s="19"/>
      <c r="N110" s="19"/>
      <c r="O110" s="20"/>
      <c r="P110" s="1"/>
      <c r="Q110" s="1"/>
    </row>
    <row r="111" spans="1:17" x14ac:dyDescent="0.2">
      <c r="A111" s="17">
        <v>28887</v>
      </c>
      <c r="B111" s="18">
        <v>1323</v>
      </c>
      <c r="C111" s="19"/>
      <c r="D111" s="19"/>
      <c r="E111" s="19"/>
      <c r="F111" s="19"/>
      <c r="G111" s="19"/>
      <c r="H111" s="19"/>
      <c r="I111" s="19"/>
      <c r="J111" s="19"/>
      <c r="K111" s="19"/>
      <c r="L111" s="19"/>
      <c r="M111" s="19"/>
      <c r="N111" s="19"/>
      <c r="O111" s="20"/>
      <c r="P111" s="1"/>
      <c r="Q111" s="1"/>
    </row>
    <row r="112" spans="1:17" x14ac:dyDescent="0.2">
      <c r="A112" s="17">
        <v>28915</v>
      </c>
      <c r="B112" s="18">
        <v>1322.9</v>
      </c>
      <c r="C112" s="19">
        <v>1543.1</v>
      </c>
      <c r="D112" s="19"/>
      <c r="E112" s="19"/>
      <c r="F112" s="19"/>
      <c r="G112" s="19"/>
      <c r="H112" s="19"/>
      <c r="I112" s="19"/>
      <c r="J112" s="19"/>
      <c r="K112" s="19"/>
      <c r="L112" s="19"/>
      <c r="M112" s="19"/>
      <c r="N112" s="19"/>
      <c r="O112" s="20"/>
      <c r="P112" s="1"/>
      <c r="Q112" s="1"/>
    </row>
    <row r="113" spans="1:17" x14ac:dyDescent="0.2">
      <c r="A113" s="17">
        <v>28946</v>
      </c>
      <c r="B113" s="18">
        <v>1315.5</v>
      </c>
      <c r="C113" s="19">
        <v>1545</v>
      </c>
      <c r="D113" s="19"/>
      <c r="E113" s="19"/>
      <c r="F113" s="19"/>
      <c r="G113" s="19"/>
      <c r="H113" s="19"/>
      <c r="I113" s="19"/>
      <c r="J113" s="19"/>
      <c r="K113" s="19"/>
      <c r="L113" s="19"/>
      <c r="M113" s="19"/>
      <c r="N113" s="19"/>
      <c r="O113" s="20"/>
      <c r="P113" s="1"/>
      <c r="Q113" s="1"/>
    </row>
    <row r="114" spans="1:17" x14ac:dyDescent="0.2">
      <c r="A114" s="17">
        <v>28976</v>
      </c>
      <c r="B114" s="18">
        <v>1323.6</v>
      </c>
      <c r="C114" s="19">
        <v>1543.1</v>
      </c>
      <c r="D114" s="19"/>
      <c r="E114" s="19"/>
      <c r="F114" s="19"/>
      <c r="G114" s="19"/>
      <c r="H114" s="19"/>
      <c r="I114" s="19"/>
      <c r="J114" s="19"/>
      <c r="K114" s="19"/>
      <c r="L114" s="19"/>
      <c r="M114" s="19"/>
      <c r="N114" s="19"/>
      <c r="O114" s="20"/>
      <c r="P114" s="1"/>
      <c r="Q114" s="1"/>
    </row>
    <row r="115" spans="1:17" x14ac:dyDescent="0.2">
      <c r="A115" s="17">
        <v>29007</v>
      </c>
      <c r="B115" s="18">
        <v>1318.5</v>
      </c>
      <c r="C115" s="19"/>
      <c r="D115" s="19"/>
      <c r="E115" s="19"/>
      <c r="F115" s="19"/>
      <c r="G115" s="19"/>
      <c r="H115" s="19"/>
      <c r="I115" s="19"/>
      <c r="J115" s="19"/>
      <c r="K115" s="19"/>
      <c r="L115" s="19"/>
      <c r="M115" s="19"/>
      <c r="N115" s="19"/>
      <c r="O115" s="20"/>
      <c r="P115" s="1"/>
      <c r="Q115" s="1"/>
    </row>
    <row r="116" spans="1:17" x14ac:dyDescent="0.2">
      <c r="A116" s="17">
        <v>29037</v>
      </c>
      <c r="B116" s="18">
        <v>1317</v>
      </c>
      <c r="C116" s="19">
        <v>1542.3</v>
      </c>
      <c r="D116" s="19"/>
      <c r="E116" s="19"/>
      <c r="F116" s="19"/>
      <c r="G116" s="19"/>
      <c r="H116" s="19"/>
      <c r="I116" s="19"/>
      <c r="J116" s="19"/>
      <c r="K116" s="19"/>
      <c r="L116" s="19"/>
      <c r="M116" s="19"/>
      <c r="N116" s="19"/>
      <c r="O116" s="20"/>
      <c r="P116" s="1"/>
      <c r="Q116" s="1"/>
    </row>
    <row r="117" spans="1:17" x14ac:dyDescent="0.2">
      <c r="A117" s="17">
        <v>29068</v>
      </c>
      <c r="B117" s="18">
        <v>1319.9</v>
      </c>
      <c r="C117" s="19">
        <v>1543</v>
      </c>
      <c r="D117" s="19"/>
      <c r="E117" s="19"/>
      <c r="F117" s="19"/>
      <c r="G117" s="19"/>
      <c r="H117" s="19"/>
      <c r="I117" s="19"/>
      <c r="J117" s="19"/>
      <c r="K117" s="19"/>
      <c r="L117" s="19"/>
      <c r="M117" s="19"/>
      <c r="N117" s="19"/>
      <c r="O117" s="20"/>
      <c r="P117" s="1"/>
      <c r="Q117" s="1"/>
    </row>
    <row r="118" spans="1:17" x14ac:dyDescent="0.2">
      <c r="A118" s="17">
        <v>29099</v>
      </c>
      <c r="B118" s="18">
        <v>1324.5</v>
      </c>
      <c r="C118" s="19">
        <v>1541</v>
      </c>
      <c r="D118" s="19"/>
      <c r="E118" s="19"/>
      <c r="F118" s="19"/>
      <c r="G118" s="19"/>
      <c r="H118" s="19"/>
      <c r="I118" s="19"/>
      <c r="J118" s="19"/>
      <c r="K118" s="19"/>
      <c r="L118" s="19"/>
      <c r="M118" s="19"/>
      <c r="N118" s="19"/>
      <c r="O118" s="20"/>
      <c r="P118" s="1"/>
      <c r="Q118" s="1"/>
    </row>
    <row r="119" spans="1:17" x14ac:dyDescent="0.2">
      <c r="A119" s="17">
        <v>29129</v>
      </c>
      <c r="B119" s="18">
        <v>1318.1</v>
      </c>
      <c r="C119" s="19">
        <v>1540.3</v>
      </c>
      <c r="D119" s="19"/>
      <c r="E119" s="19"/>
      <c r="F119" s="19"/>
      <c r="G119" s="19"/>
      <c r="H119" s="19"/>
      <c r="I119" s="19"/>
      <c r="J119" s="19"/>
      <c r="K119" s="19"/>
      <c r="L119" s="19"/>
      <c r="M119" s="19"/>
      <c r="N119" s="19"/>
      <c r="O119" s="20"/>
      <c r="P119" s="1"/>
      <c r="Q119" s="1"/>
    </row>
    <row r="120" spans="1:17" x14ac:dyDescent="0.2">
      <c r="A120" s="17">
        <v>29160</v>
      </c>
      <c r="B120" s="18">
        <v>1307.2</v>
      </c>
      <c r="C120" s="19">
        <v>1540.3</v>
      </c>
      <c r="D120" s="19"/>
      <c r="E120" s="19"/>
      <c r="F120" s="19"/>
      <c r="G120" s="19"/>
      <c r="H120" s="19"/>
      <c r="I120" s="19"/>
      <c r="J120" s="19"/>
      <c r="K120" s="19"/>
      <c r="L120" s="19"/>
      <c r="M120" s="19"/>
      <c r="N120" s="19"/>
      <c r="O120" s="20"/>
      <c r="P120" s="1"/>
      <c r="Q120" s="1"/>
    </row>
    <row r="121" spans="1:17" x14ac:dyDescent="0.2">
      <c r="A121" s="17">
        <v>29190</v>
      </c>
      <c r="B121" s="18">
        <v>1322.8</v>
      </c>
      <c r="C121" s="19">
        <v>1538.7</v>
      </c>
      <c r="D121" s="19"/>
      <c r="E121" s="19"/>
      <c r="F121" s="19"/>
      <c r="G121" s="19"/>
      <c r="H121" s="19"/>
      <c r="I121" s="19"/>
      <c r="J121" s="19"/>
      <c r="K121" s="19"/>
      <c r="L121" s="19"/>
      <c r="M121" s="19"/>
      <c r="N121" s="19"/>
      <c r="O121" s="20"/>
      <c r="P121" s="1"/>
      <c r="Q121" s="1"/>
    </row>
    <row r="122" spans="1:17" x14ac:dyDescent="0.2">
      <c r="A122" s="17">
        <v>29221</v>
      </c>
      <c r="B122" s="18">
        <v>1322.2</v>
      </c>
      <c r="C122" s="19">
        <v>1539.5</v>
      </c>
      <c r="D122" s="19"/>
      <c r="E122" s="19"/>
      <c r="F122" s="19"/>
      <c r="G122" s="19"/>
      <c r="H122" s="19"/>
      <c r="I122" s="19"/>
      <c r="J122" s="19"/>
      <c r="K122" s="19"/>
      <c r="L122" s="19"/>
      <c r="M122" s="19"/>
      <c r="N122" s="19"/>
      <c r="O122" s="20"/>
      <c r="P122" s="1"/>
      <c r="Q122" s="1"/>
    </row>
    <row r="123" spans="1:17" x14ac:dyDescent="0.2">
      <c r="A123" s="17">
        <v>29252</v>
      </c>
      <c r="B123" s="18">
        <v>1313.8</v>
      </c>
      <c r="C123" s="19">
        <v>1541.3</v>
      </c>
      <c r="D123" s="19"/>
      <c r="E123" s="19"/>
      <c r="F123" s="19"/>
      <c r="G123" s="19"/>
      <c r="H123" s="19"/>
      <c r="I123" s="19"/>
      <c r="J123" s="19"/>
      <c r="K123" s="19"/>
      <c r="L123" s="19"/>
      <c r="M123" s="19"/>
      <c r="N123" s="19"/>
      <c r="O123" s="20"/>
      <c r="P123" s="1"/>
      <c r="Q123" s="1"/>
    </row>
    <row r="124" spans="1:17" x14ac:dyDescent="0.2">
      <c r="A124" s="17">
        <v>29281</v>
      </c>
      <c r="B124" s="18">
        <v>1323.7</v>
      </c>
      <c r="C124" s="19">
        <v>1545.3</v>
      </c>
      <c r="D124" s="19"/>
      <c r="E124" s="19"/>
      <c r="F124" s="19"/>
      <c r="G124" s="19"/>
      <c r="H124" s="19"/>
      <c r="I124" s="19"/>
      <c r="J124" s="19"/>
      <c r="K124" s="19"/>
      <c r="L124" s="19"/>
      <c r="M124" s="19"/>
      <c r="N124" s="19"/>
      <c r="O124" s="20"/>
      <c r="P124" s="1"/>
      <c r="Q124" s="1"/>
    </row>
    <row r="125" spans="1:17" x14ac:dyDescent="0.2">
      <c r="A125" s="17">
        <v>29312</v>
      </c>
      <c r="B125" s="18">
        <v>1312.6</v>
      </c>
      <c r="C125" s="19">
        <v>1545.9</v>
      </c>
      <c r="D125" s="19"/>
      <c r="E125" s="19"/>
      <c r="F125" s="19"/>
      <c r="G125" s="19"/>
      <c r="H125" s="19"/>
      <c r="I125" s="19"/>
      <c r="J125" s="19"/>
      <c r="K125" s="19"/>
      <c r="L125" s="19"/>
      <c r="M125" s="19"/>
      <c r="N125" s="19"/>
      <c r="O125" s="20"/>
      <c r="P125" s="1"/>
      <c r="Q125" s="1"/>
    </row>
    <row r="126" spans="1:17" x14ac:dyDescent="0.2">
      <c r="A126" s="17">
        <v>29342</v>
      </c>
      <c r="B126" s="18">
        <v>1323.7</v>
      </c>
      <c r="C126" s="19">
        <v>1546.8</v>
      </c>
      <c r="D126" s="19"/>
      <c r="E126" s="19"/>
      <c r="F126" s="19"/>
      <c r="G126" s="19"/>
      <c r="H126" s="19"/>
      <c r="I126" s="19"/>
      <c r="J126" s="19"/>
      <c r="K126" s="19"/>
      <c r="L126" s="19"/>
      <c r="M126" s="19"/>
      <c r="N126" s="19"/>
      <c r="O126" s="20"/>
      <c r="P126" s="1"/>
      <c r="Q126" s="1"/>
    </row>
    <row r="127" spans="1:17" x14ac:dyDescent="0.2">
      <c r="A127" s="17">
        <v>29373</v>
      </c>
      <c r="B127" s="18">
        <v>1318.9</v>
      </c>
      <c r="C127" s="19">
        <v>1546.1</v>
      </c>
      <c r="D127" s="19"/>
      <c r="E127" s="19"/>
      <c r="F127" s="19"/>
      <c r="G127" s="19"/>
      <c r="H127" s="19"/>
      <c r="I127" s="19"/>
      <c r="J127" s="19"/>
      <c r="K127" s="19"/>
      <c r="L127" s="19"/>
      <c r="M127" s="19"/>
      <c r="N127" s="19"/>
      <c r="O127" s="20"/>
      <c r="P127" s="1"/>
      <c r="Q127" s="1"/>
    </row>
    <row r="128" spans="1:17" x14ac:dyDescent="0.2">
      <c r="A128" s="17">
        <v>29403</v>
      </c>
      <c r="B128" s="18">
        <v>1315.2</v>
      </c>
      <c r="C128" s="19">
        <v>1546</v>
      </c>
      <c r="D128" s="19"/>
      <c r="E128" s="19"/>
      <c r="F128" s="19"/>
      <c r="G128" s="19"/>
      <c r="H128" s="19"/>
      <c r="I128" s="19"/>
      <c r="J128" s="19"/>
      <c r="K128" s="19"/>
      <c r="L128" s="19"/>
      <c r="M128" s="19"/>
      <c r="N128" s="19"/>
      <c r="O128" s="20"/>
      <c r="P128" s="1"/>
      <c r="Q128" s="1"/>
    </row>
    <row r="129" spans="1:17" x14ac:dyDescent="0.2">
      <c r="A129" s="17">
        <v>29434</v>
      </c>
      <c r="B129" s="18">
        <v>1322</v>
      </c>
      <c r="C129" s="19">
        <v>1544.9</v>
      </c>
      <c r="D129" s="19"/>
      <c r="E129" s="19"/>
      <c r="F129" s="19"/>
      <c r="G129" s="19"/>
      <c r="H129" s="19"/>
      <c r="I129" s="19"/>
      <c r="J129" s="19"/>
      <c r="K129" s="19"/>
      <c r="L129" s="19"/>
      <c r="M129" s="19"/>
      <c r="N129" s="19"/>
      <c r="O129" s="20"/>
      <c r="P129" s="1"/>
      <c r="Q129" s="1"/>
    </row>
    <row r="130" spans="1:17" x14ac:dyDescent="0.2">
      <c r="A130" s="17">
        <v>29465</v>
      </c>
      <c r="B130" s="18">
        <v>1320.8</v>
      </c>
      <c r="C130" s="19">
        <v>1544.6</v>
      </c>
      <c r="D130" s="19"/>
      <c r="E130" s="19"/>
      <c r="F130" s="19"/>
      <c r="G130" s="19"/>
      <c r="H130" s="19"/>
      <c r="I130" s="19"/>
      <c r="J130" s="19"/>
      <c r="K130" s="19"/>
      <c r="L130" s="19"/>
      <c r="M130" s="19"/>
      <c r="N130" s="19"/>
      <c r="O130" s="20"/>
      <c r="P130" s="1"/>
      <c r="Q130" s="1"/>
    </row>
    <row r="131" spans="1:17" x14ac:dyDescent="0.2">
      <c r="A131" s="17">
        <v>29495</v>
      </c>
      <c r="B131" s="18">
        <v>1321.5</v>
      </c>
      <c r="C131" s="19">
        <v>1543.6</v>
      </c>
      <c r="D131" s="19"/>
      <c r="E131" s="19"/>
      <c r="F131" s="19"/>
      <c r="G131" s="19"/>
      <c r="H131" s="19"/>
      <c r="I131" s="19"/>
      <c r="J131" s="19"/>
      <c r="K131" s="19"/>
      <c r="L131" s="19"/>
      <c r="M131" s="19"/>
      <c r="N131" s="19"/>
      <c r="O131" s="20"/>
      <c r="P131" s="1"/>
      <c r="Q131" s="1"/>
    </row>
    <row r="132" spans="1:17" x14ac:dyDescent="0.2">
      <c r="A132" s="17">
        <v>29526</v>
      </c>
      <c r="B132" s="18">
        <v>1315.4</v>
      </c>
      <c r="C132" s="19">
        <v>1545</v>
      </c>
      <c r="D132" s="19"/>
      <c r="E132" s="19"/>
      <c r="F132" s="19"/>
      <c r="G132" s="19"/>
      <c r="H132" s="19"/>
      <c r="I132" s="19"/>
      <c r="J132" s="19"/>
      <c r="K132" s="19"/>
      <c r="L132" s="19"/>
      <c r="M132" s="19"/>
      <c r="N132" s="19"/>
      <c r="O132" s="20"/>
      <c r="P132" s="1"/>
      <c r="Q132" s="1"/>
    </row>
    <row r="133" spans="1:17" x14ac:dyDescent="0.2">
      <c r="A133" s="17">
        <v>29556</v>
      </c>
      <c r="B133" s="18">
        <v>1322.7</v>
      </c>
      <c r="C133" s="19">
        <v>1542.3</v>
      </c>
      <c r="D133" s="19"/>
      <c r="E133" s="19"/>
      <c r="F133" s="19"/>
      <c r="G133" s="19"/>
      <c r="H133" s="19"/>
      <c r="I133" s="19"/>
      <c r="J133" s="19"/>
      <c r="K133" s="19"/>
      <c r="L133" s="19"/>
      <c r="M133" s="19"/>
      <c r="N133" s="19"/>
      <c r="O133" s="20"/>
      <c r="P133" s="1"/>
      <c r="Q133" s="1"/>
    </row>
    <row r="134" spans="1:17" x14ac:dyDescent="0.2">
      <c r="A134" s="17">
        <v>29587</v>
      </c>
      <c r="B134" s="18">
        <v>1323.3</v>
      </c>
      <c r="C134" s="19">
        <v>1541.7</v>
      </c>
      <c r="D134" s="19"/>
      <c r="E134" s="19"/>
      <c r="F134" s="19"/>
      <c r="G134" s="19"/>
      <c r="H134" s="19"/>
      <c r="I134" s="19"/>
      <c r="J134" s="19"/>
      <c r="K134" s="19"/>
      <c r="L134" s="19"/>
      <c r="M134" s="19"/>
      <c r="N134" s="19"/>
      <c r="O134" s="20"/>
      <c r="P134" s="1"/>
      <c r="Q134" s="1"/>
    </row>
    <row r="135" spans="1:17" x14ac:dyDescent="0.2">
      <c r="A135" s="17">
        <v>29618</v>
      </c>
      <c r="B135" s="18">
        <v>1322.9</v>
      </c>
      <c r="C135" s="19">
        <v>1540.7</v>
      </c>
      <c r="D135" s="19"/>
      <c r="E135" s="19"/>
      <c r="F135" s="19"/>
      <c r="G135" s="19"/>
      <c r="H135" s="19"/>
      <c r="I135" s="19"/>
      <c r="J135" s="19"/>
      <c r="K135" s="19"/>
      <c r="L135" s="19"/>
      <c r="M135" s="19"/>
      <c r="N135" s="19"/>
      <c r="O135" s="20"/>
      <c r="P135" s="1"/>
      <c r="Q135" s="1"/>
    </row>
    <row r="136" spans="1:17" x14ac:dyDescent="0.2">
      <c r="A136" s="17">
        <v>29646</v>
      </c>
      <c r="B136" s="18">
        <v>1322</v>
      </c>
      <c r="C136" s="19">
        <v>1539.7</v>
      </c>
      <c r="D136" s="19"/>
      <c r="E136" s="19"/>
      <c r="F136" s="19"/>
      <c r="G136" s="19"/>
      <c r="H136" s="19"/>
      <c r="I136" s="19"/>
      <c r="J136" s="19"/>
      <c r="K136" s="19"/>
      <c r="L136" s="19"/>
      <c r="M136" s="19"/>
      <c r="N136" s="19"/>
      <c r="O136" s="20"/>
      <c r="P136" s="1"/>
      <c r="Q136" s="1"/>
    </row>
    <row r="137" spans="1:17" x14ac:dyDescent="0.2">
      <c r="A137" s="17">
        <v>29677</v>
      </c>
      <c r="B137" s="18">
        <v>1330.2</v>
      </c>
      <c r="C137" s="19">
        <v>1539.1</v>
      </c>
      <c r="D137" s="19"/>
      <c r="E137" s="19"/>
      <c r="F137" s="19"/>
      <c r="G137" s="19"/>
      <c r="H137" s="19"/>
      <c r="I137" s="19"/>
      <c r="J137" s="19"/>
      <c r="K137" s="19"/>
      <c r="L137" s="19"/>
      <c r="M137" s="19"/>
      <c r="N137" s="19"/>
      <c r="O137" s="20"/>
      <c r="P137" s="1"/>
      <c r="Q137" s="1"/>
    </row>
    <row r="138" spans="1:17" x14ac:dyDescent="0.2">
      <c r="A138" s="17">
        <v>29707</v>
      </c>
      <c r="B138" s="18">
        <v>1324</v>
      </c>
      <c r="C138" s="19">
        <v>1539.7</v>
      </c>
      <c r="D138" s="19"/>
      <c r="E138" s="19"/>
      <c r="F138" s="19"/>
      <c r="G138" s="19"/>
      <c r="H138" s="19"/>
      <c r="I138" s="19"/>
      <c r="J138" s="19"/>
      <c r="K138" s="19"/>
      <c r="L138" s="19"/>
      <c r="M138" s="19"/>
      <c r="N138" s="19"/>
      <c r="O138" s="20"/>
      <c r="P138" s="1"/>
      <c r="Q138" s="1"/>
    </row>
    <row r="139" spans="1:17" x14ac:dyDescent="0.2">
      <c r="A139" s="17">
        <v>29738</v>
      </c>
      <c r="B139" s="18">
        <v>1317.4</v>
      </c>
      <c r="C139" s="19">
        <v>1538.1</v>
      </c>
      <c r="D139" s="19"/>
      <c r="E139" s="19"/>
      <c r="F139" s="19"/>
      <c r="G139" s="19"/>
      <c r="H139" s="19"/>
      <c r="I139" s="19"/>
      <c r="J139" s="19"/>
      <c r="K139" s="19"/>
      <c r="L139" s="19"/>
      <c r="M139" s="19"/>
      <c r="N139" s="19"/>
      <c r="O139" s="20"/>
      <c r="P139" s="1"/>
      <c r="Q139" s="1"/>
    </row>
    <row r="140" spans="1:17" x14ac:dyDescent="0.2">
      <c r="A140" s="17">
        <v>29768</v>
      </c>
      <c r="B140" s="18">
        <v>1320.6</v>
      </c>
      <c r="C140" s="19">
        <v>1539.9</v>
      </c>
      <c r="D140" s="19"/>
      <c r="E140" s="19"/>
      <c r="F140" s="19"/>
      <c r="G140" s="19"/>
      <c r="H140" s="19"/>
      <c r="I140" s="19"/>
      <c r="J140" s="19"/>
      <c r="K140" s="19"/>
      <c r="L140" s="19"/>
      <c r="M140" s="19"/>
      <c r="N140" s="19"/>
      <c r="O140" s="20"/>
      <c r="P140" s="1"/>
      <c r="Q140" s="1"/>
    </row>
    <row r="141" spans="1:17" x14ac:dyDescent="0.2">
      <c r="A141" s="17">
        <v>29799</v>
      </c>
      <c r="B141" s="18">
        <v>1312.1</v>
      </c>
      <c r="C141" s="19">
        <v>1538.4</v>
      </c>
      <c r="D141" s="19"/>
      <c r="E141" s="19"/>
      <c r="F141" s="19"/>
      <c r="G141" s="19"/>
      <c r="H141" s="19"/>
      <c r="I141" s="19"/>
      <c r="J141" s="19"/>
      <c r="K141" s="19"/>
      <c r="L141" s="19"/>
      <c r="M141" s="19"/>
      <c r="N141" s="19"/>
      <c r="O141" s="20"/>
      <c r="P141" s="1"/>
      <c r="Q141" s="1"/>
    </row>
    <row r="142" spans="1:17" x14ac:dyDescent="0.2">
      <c r="A142" s="17">
        <v>29830</v>
      </c>
      <c r="B142" s="18">
        <v>1318.3</v>
      </c>
      <c r="C142" s="19">
        <v>1536.4</v>
      </c>
      <c r="D142" s="19"/>
      <c r="E142" s="19"/>
      <c r="F142" s="19"/>
      <c r="G142" s="19"/>
      <c r="H142" s="19"/>
      <c r="I142" s="19"/>
      <c r="J142" s="19"/>
      <c r="K142" s="19"/>
      <c r="L142" s="19"/>
      <c r="M142" s="19"/>
      <c r="N142" s="19"/>
      <c r="O142" s="20"/>
      <c r="P142" s="1"/>
      <c r="Q142" s="1"/>
    </row>
    <row r="143" spans="1:17" x14ac:dyDescent="0.2">
      <c r="A143" s="17">
        <v>29860</v>
      </c>
      <c r="B143" s="18">
        <v>1319.2</v>
      </c>
      <c r="C143" s="19">
        <v>1535.7</v>
      </c>
      <c r="D143" s="19"/>
      <c r="E143" s="19"/>
      <c r="F143" s="19"/>
      <c r="G143" s="19"/>
      <c r="H143" s="19"/>
      <c r="I143" s="19"/>
      <c r="J143" s="19"/>
      <c r="K143" s="19"/>
      <c r="L143" s="19"/>
      <c r="M143" s="19"/>
      <c r="N143" s="19"/>
      <c r="O143" s="20"/>
      <c r="P143" s="1"/>
      <c r="Q143" s="1"/>
    </row>
    <row r="144" spans="1:17" x14ac:dyDescent="0.2">
      <c r="A144" s="17">
        <v>29891</v>
      </c>
      <c r="B144" s="18">
        <v>1320.2</v>
      </c>
      <c r="C144" s="19">
        <v>1539.1</v>
      </c>
      <c r="D144" s="19"/>
      <c r="E144" s="19"/>
      <c r="F144" s="19"/>
      <c r="G144" s="19"/>
      <c r="H144" s="19"/>
      <c r="I144" s="19"/>
      <c r="J144" s="19"/>
      <c r="K144" s="19"/>
      <c r="L144" s="19"/>
      <c r="M144" s="19"/>
      <c r="N144" s="19"/>
      <c r="O144" s="20"/>
      <c r="P144" s="1"/>
      <c r="Q144" s="1"/>
    </row>
    <row r="145" spans="1:17" x14ac:dyDescent="0.2">
      <c r="A145" s="17">
        <v>29921</v>
      </c>
      <c r="B145" s="18">
        <v>1319.3</v>
      </c>
      <c r="C145" s="19">
        <v>1536</v>
      </c>
      <c r="D145" s="19"/>
      <c r="E145" s="19"/>
      <c r="F145" s="19"/>
      <c r="G145" s="19"/>
      <c r="H145" s="19"/>
      <c r="I145" s="19"/>
      <c r="J145" s="19"/>
      <c r="K145" s="19"/>
      <c r="L145" s="19"/>
      <c r="M145" s="19"/>
      <c r="N145" s="19"/>
      <c r="O145" s="20"/>
      <c r="P145" s="1"/>
      <c r="Q145" s="1"/>
    </row>
    <row r="146" spans="1:17" x14ac:dyDescent="0.2">
      <c r="A146" s="17">
        <v>29952</v>
      </c>
      <c r="B146" s="18">
        <v>1319.4</v>
      </c>
      <c r="C146" s="19">
        <v>1534.4</v>
      </c>
      <c r="D146" s="19"/>
      <c r="E146" s="19"/>
      <c r="F146" s="19"/>
      <c r="G146" s="19"/>
      <c r="H146" s="19"/>
      <c r="I146" s="19"/>
      <c r="J146" s="19"/>
      <c r="K146" s="19"/>
      <c r="L146" s="19"/>
      <c r="M146" s="19"/>
      <c r="N146" s="19"/>
      <c r="O146" s="20"/>
      <c r="P146" s="1"/>
      <c r="Q146" s="1"/>
    </row>
    <row r="147" spans="1:17" x14ac:dyDescent="0.2">
      <c r="A147" s="17">
        <v>29983</v>
      </c>
      <c r="B147" s="18">
        <v>1318.4</v>
      </c>
      <c r="C147" s="19"/>
      <c r="D147" s="19"/>
      <c r="E147" s="19"/>
      <c r="F147" s="19"/>
      <c r="G147" s="19"/>
      <c r="H147" s="19"/>
      <c r="I147" s="19"/>
      <c r="J147" s="19"/>
      <c r="K147" s="19"/>
      <c r="L147" s="19"/>
      <c r="M147" s="19"/>
      <c r="N147" s="19"/>
      <c r="O147" s="20"/>
      <c r="P147" s="1"/>
      <c r="Q147" s="1"/>
    </row>
    <row r="148" spans="1:17" x14ac:dyDescent="0.2">
      <c r="A148" s="17">
        <v>30011</v>
      </c>
      <c r="B148" s="18">
        <v>1318.8</v>
      </c>
      <c r="C148" s="19">
        <v>1533.5</v>
      </c>
      <c r="D148" s="19"/>
      <c r="E148" s="19"/>
      <c r="F148" s="19"/>
      <c r="G148" s="19"/>
      <c r="H148" s="19"/>
      <c r="I148" s="19"/>
      <c r="J148" s="19"/>
      <c r="K148" s="19"/>
      <c r="L148" s="19"/>
      <c r="M148" s="19"/>
      <c r="N148" s="19"/>
      <c r="O148" s="20"/>
      <c r="P148" s="1"/>
      <c r="Q148" s="1"/>
    </row>
    <row r="149" spans="1:17" x14ac:dyDescent="0.2">
      <c r="A149" s="17">
        <v>30042</v>
      </c>
      <c r="B149" s="18">
        <v>1318.8</v>
      </c>
      <c r="C149" s="19">
        <v>1533.5</v>
      </c>
      <c r="D149" s="19"/>
      <c r="E149" s="19"/>
      <c r="F149" s="19"/>
      <c r="G149" s="19"/>
      <c r="H149" s="19"/>
      <c r="I149" s="19"/>
      <c r="J149" s="19"/>
      <c r="K149" s="19"/>
      <c r="L149" s="19"/>
      <c r="M149" s="19"/>
      <c r="N149" s="19"/>
      <c r="O149" s="20"/>
      <c r="P149" s="1"/>
      <c r="Q149" s="1"/>
    </row>
    <row r="150" spans="1:17" x14ac:dyDescent="0.2">
      <c r="A150" s="17">
        <v>30072</v>
      </c>
      <c r="B150" s="18">
        <v>1317.7</v>
      </c>
      <c r="C150" s="19">
        <v>1533.3</v>
      </c>
      <c r="D150" s="19"/>
      <c r="E150" s="19"/>
      <c r="F150" s="19"/>
      <c r="G150" s="19"/>
      <c r="H150" s="19"/>
      <c r="I150" s="19"/>
      <c r="J150" s="19"/>
      <c r="K150" s="19"/>
      <c r="L150" s="19"/>
      <c r="M150" s="19"/>
      <c r="N150" s="19"/>
      <c r="O150" s="20"/>
      <c r="P150" s="1"/>
      <c r="Q150" s="1"/>
    </row>
    <row r="151" spans="1:17" x14ac:dyDescent="0.2">
      <c r="A151" s="17">
        <v>30103</v>
      </c>
      <c r="B151" s="18">
        <v>1318.2</v>
      </c>
      <c r="C151" s="19">
        <v>1533.2</v>
      </c>
      <c r="D151" s="19"/>
      <c r="E151" s="19"/>
      <c r="F151" s="19"/>
      <c r="G151" s="19"/>
      <c r="H151" s="19"/>
      <c r="I151" s="19"/>
      <c r="J151" s="19"/>
      <c r="K151" s="19"/>
      <c r="L151" s="19"/>
      <c r="M151" s="19"/>
      <c r="N151" s="19"/>
      <c r="O151" s="20"/>
      <c r="P151" s="1"/>
      <c r="Q151" s="1"/>
    </row>
    <row r="152" spans="1:17" x14ac:dyDescent="0.2">
      <c r="A152" s="17">
        <v>30133</v>
      </c>
      <c r="B152" s="18">
        <v>1311.1</v>
      </c>
      <c r="C152" s="19">
        <v>1533.2</v>
      </c>
      <c r="D152" s="19"/>
      <c r="E152" s="19"/>
      <c r="F152" s="19"/>
      <c r="G152" s="19"/>
      <c r="H152" s="19"/>
      <c r="I152" s="19"/>
      <c r="J152" s="19"/>
      <c r="K152" s="19"/>
      <c r="L152" s="19"/>
      <c r="M152" s="19"/>
      <c r="N152" s="19"/>
      <c r="O152" s="20"/>
      <c r="P152" s="1"/>
      <c r="Q152" s="1"/>
    </row>
    <row r="153" spans="1:17" x14ac:dyDescent="0.2">
      <c r="A153" s="17">
        <v>30164</v>
      </c>
      <c r="B153" s="18">
        <v>1316.5</v>
      </c>
      <c r="C153" s="19">
        <v>1532.4</v>
      </c>
      <c r="D153" s="19"/>
      <c r="E153" s="19"/>
      <c r="F153" s="19"/>
      <c r="G153" s="19"/>
      <c r="H153" s="19"/>
      <c r="I153" s="19"/>
      <c r="J153" s="19"/>
      <c r="K153" s="19"/>
      <c r="L153" s="19"/>
      <c r="M153" s="19"/>
      <c r="N153" s="19"/>
      <c r="O153" s="20"/>
      <c r="P153" s="1"/>
      <c r="Q153" s="1"/>
    </row>
    <row r="154" spans="1:17" x14ac:dyDescent="0.2">
      <c r="A154" s="17">
        <v>30195</v>
      </c>
      <c r="B154" s="18">
        <v>1316</v>
      </c>
      <c r="C154" s="19">
        <v>1532.4</v>
      </c>
      <c r="D154" s="19"/>
      <c r="E154" s="19"/>
      <c r="F154" s="19"/>
      <c r="G154" s="19"/>
      <c r="H154" s="19"/>
      <c r="I154" s="19"/>
      <c r="J154" s="19"/>
      <c r="K154" s="19"/>
      <c r="L154" s="19"/>
      <c r="M154" s="19"/>
      <c r="N154" s="19"/>
      <c r="O154" s="20"/>
      <c r="P154" s="1"/>
      <c r="Q154" s="1"/>
    </row>
    <row r="155" spans="1:17" x14ac:dyDescent="0.2">
      <c r="A155" s="17">
        <v>30225</v>
      </c>
      <c r="B155" s="18">
        <v>1316.8</v>
      </c>
      <c r="C155" s="19">
        <v>1533.3</v>
      </c>
      <c r="D155" s="19"/>
      <c r="E155" s="19"/>
      <c r="F155" s="19"/>
      <c r="G155" s="19"/>
      <c r="H155" s="19"/>
      <c r="I155" s="19"/>
      <c r="J155" s="19"/>
      <c r="K155" s="19"/>
      <c r="L155" s="19"/>
      <c r="M155" s="19"/>
      <c r="N155" s="19"/>
      <c r="O155" s="20"/>
      <c r="P155" s="1"/>
      <c r="Q155" s="1"/>
    </row>
    <row r="156" spans="1:17" x14ac:dyDescent="0.2">
      <c r="A156" s="17">
        <v>30256</v>
      </c>
      <c r="B156" s="18">
        <v>1315.8</v>
      </c>
      <c r="C156" s="19">
        <v>1532.3</v>
      </c>
      <c r="D156" s="19"/>
      <c r="E156" s="19"/>
      <c r="F156" s="19"/>
      <c r="G156" s="19"/>
      <c r="H156" s="19"/>
      <c r="I156" s="19"/>
      <c r="J156" s="19"/>
      <c r="K156" s="19"/>
      <c r="L156" s="19"/>
      <c r="M156" s="19"/>
      <c r="N156" s="19"/>
      <c r="O156" s="20"/>
      <c r="P156" s="1"/>
      <c r="Q156" s="1"/>
    </row>
    <row r="157" spans="1:17" x14ac:dyDescent="0.2">
      <c r="A157" s="17">
        <v>30286</v>
      </c>
      <c r="B157" s="18">
        <v>1315.5</v>
      </c>
      <c r="C157" s="19">
        <v>1532.1</v>
      </c>
      <c r="D157" s="19"/>
      <c r="E157" s="19"/>
      <c r="F157" s="19"/>
      <c r="G157" s="19"/>
      <c r="H157" s="19"/>
      <c r="I157" s="19"/>
      <c r="J157" s="19"/>
      <c r="K157" s="19"/>
      <c r="L157" s="19"/>
      <c r="M157" s="19"/>
      <c r="N157" s="19"/>
      <c r="O157" s="20"/>
      <c r="P157" s="1"/>
      <c r="Q157" s="1"/>
    </row>
    <row r="158" spans="1:17" x14ac:dyDescent="0.2">
      <c r="A158" s="17">
        <v>30317</v>
      </c>
      <c r="B158" s="18">
        <v>1317.2</v>
      </c>
      <c r="C158" s="19"/>
      <c r="D158" s="19"/>
      <c r="E158" s="19"/>
      <c r="F158" s="19"/>
      <c r="G158" s="19"/>
      <c r="H158" s="19"/>
      <c r="I158" s="19"/>
      <c r="J158" s="19"/>
      <c r="K158" s="19"/>
      <c r="L158" s="19"/>
      <c r="M158" s="19"/>
      <c r="N158" s="19"/>
      <c r="O158" s="20"/>
      <c r="P158" s="1"/>
      <c r="Q158" s="1"/>
    </row>
    <row r="159" spans="1:17" x14ac:dyDescent="0.2">
      <c r="A159" s="17">
        <v>30348</v>
      </c>
      <c r="B159" s="18">
        <v>1318</v>
      </c>
      <c r="C159" s="19">
        <v>1533.4</v>
      </c>
      <c r="D159" s="19"/>
      <c r="E159" s="19"/>
      <c r="F159" s="19"/>
      <c r="G159" s="19"/>
      <c r="H159" s="19"/>
      <c r="I159" s="19"/>
      <c r="J159" s="19"/>
      <c r="K159" s="19"/>
      <c r="L159" s="19"/>
      <c r="M159" s="19"/>
      <c r="N159" s="19"/>
      <c r="O159" s="20"/>
      <c r="P159" s="1"/>
      <c r="Q159" s="1"/>
    </row>
    <row r="160" spans="1:17" x14ac:dyDescent="0.2">
      <c r="A160" s="17">
        <v>30376</v>
      </c>
      <c r="B160" s="18">
        <v>1317.7</v>
      </c>
      <c r="C160" s="19">
        <v>1534</v>
      </c>
      <c r="D160" s="19"/>
      <c r="E160" s="19"/>
      <c r="F160" s="19"/>
      <c r="G160" s="19"/>
      <c r="H160" s="19"/>
      <c r="I160" s="19"/>
      <c r="J160" s="19"/>
      <c r="K160" s="19"/>
      <c r="L160" s="19"/>
      <c r="M160" s="19"/>
      <c r="N160" s="19"/>
      <c r="O160" s="20"/>
      <c r="P160" s="1"/>
      <c r="Q160" s="1"/>
    </row>
    <row r="161" spans="1:17" x14ac:dyDescent="0.2">
      <c r="A161" s="17">
        <v>30407</v>
      </c>
      <c r="B161" s="18">
        <v>1319.2</v>
      </c>
      <c r="C161" s="19">
        <v>1542.1</v>
      </c>
      <c r="D161" s="19"/>
      <c r="E161" s="19"/>
      <c r="F161" s="19"/>
      <c r="G161" s="19"/>
      <c r="H161" s="19"/>
      <c r="I161" s="19"/>
      <c r="J161" s="19"/>
      <c r="K161" s="19"/>
      <c r="L161" s="19"/>
      <c r="M161" s="19"/>
      <c r="N161" s="19"/>
      <c r="O161" s="20"/>
      <c r="P161" s="1"/>
      <c r="Q161" s="1"/>
    </row>
    <row r="162" spans="1:17" x14ac:dyDescent="0.2">
      <c r="A162" s="17">
        <v>30437</v>
      </c>
      <c r="B162" s="18">
        <v>1315.8</v>
      </c>
      <c r="C162" s="19">
        <v>1542.9</v>
      </c>
      <c r="D162" s="19"/>
      <c r="E162" s="19"/>
      <c r="F162" s="19"/>
      <c r="G162" s="19"/>
      <c r="H162" s="19"/>
      <c r="I162" s="19"/>
      <c r="J162" s="19"/>
      <c r="K162" s="19"/>
      <c r="L162" s="19"/>
      <c r="M162" s="19"/>
      <c r="N162" s="19"/>
      <c r="O162" s="20"/>
      <c r="P162" s="1"/>
      <c r="Q162" s="1"/>
    </row>
    <row r="163" spans="1:17" x14ac:dyDescent="0.2">
      <c r="A163" s="17">
        <v>30468</v>
      </c>
      <c r="B163" s="18">
        <v>1321.2</v>
      </c>
      <c r="C163" s="19">
        <v>1550.6</v>
      </c>
      <c r="D163" s="19"/>
      <c r="E163" s="19"/>
      <c r="F163" s="19"/>
      <c r="G163" s="19"/>
      <c r="H163" s="19"/>
      <c r="I163" s="19"/>
      <c r="J163" s="19"/>
      <c r="K163" s="19"/>
      <c r="L163" s="19"/>
      <c r="M163" s="19"/>
      <c r="N163" s="19"/>
      <c r="O163" s="20"/>
      <c r="P163" s="1"/>
      <c r="Q163" s="1"/>
    </row>
    <row r="164" spans="1:17" x14ac:dyDescent="0.2">
      <c r="A164" s="17">
        <v>30498</v>
      </c>
      <c r="B164" s="18">
        <v>1310.5999999999999</v>
      </c>
      <c r="C164" s="19">
        <v>1549.8</v>
      </c>
      <c r="D164" s="19"/>
      <c r="E164" s="19"/>
      <c r="F164" s="19"/>
      <c r="G164" s="19"/>
      <c r="H164" s="19"/>
      <c r="I164" s="19"/>
      <c r="J164" s="19"/>
      <c r="K164" s="19"/>
      <c r="L164" s="19"/>
      <c r="M164" s="19"/>
      <c r="N164" s="19"/>
      <c r="O164" s="20"/>
      <c r="P164" s="1"/>
      <c r="Q164" s="1"/>
    </row>
    <row r="165" spans="1:17" x14ac:dyDescent="0.2">
      <c r="A165" s="17">
        <v>30529</v>
      </c>
      <c r="B165" s="18">
        <v>1320.6</v>
      </c>
      <c r="C165" s="19">
        <v>1541</v>
      </c>
      <c r="D165" s="19"/>
      <c r="E165" s="19"/>
      <c r="F165" s="19"/>
      <c r="G165" s="19"/>
      <c r="H165" s="19"/>
      <c r="I165" s="19"/>
      <c r="J165" s="19"/>
      <c r="K165" s="19"/>
      <c r="L165" s="19"/>
      <c r="M165" s="19"/>
      <c r="N165" s="19"/>
      <c r="O165" s="20"/>
      <c r="P165" s="1"/>
      <c r="Q165" s="1"/>
    </row>
    <row r="166" spans="1:17" x14ac:dyDescent="0.2">
      <c r="A166" s="17">
        <v>30560</v>
      </c>
      <c r="B166" s="18">
        <v>1320.2</v>
      </c>
      <c r="C166" s="19">
        <v>1544.6</v>
      </c>
      <c r="D166" s="19"/>
      <c r="E166" s="19"/>
      <c r="F166" s="19"/>
      <c r="G166" s="19"/>
      <c r="H166" s="19"/>
      <c r="I166" s="19"/>
      <c r="J166" s="19"/>
      <c r="K166" s="19"/>
      <c r="L166" s="19"/>
      <c r="M166" s="19"/>
      <c r="N166" s="19"/>
      <c r="O166" s="20"/>
      <c r="P166" s="1"/>
      <c r="Q166" s="1"/>
    </row>
    <row r="167" spans="1:17" x14ac:dyDescent="0.2">
      <c r="A167" s="17">
        <v>30590</v>
      </c>
      <c r="B167" s="18">
        <v>1321.2</v>
      </c>
      <c r="C167" s="19">
        <v>1545.7</v>
      </c>
      <c r="D167" s="19"/>
      <c r="E167" s="19"/>
      <c r="F167" s="19"/>
      <c r="G167" s="19"/>
      <c r="H167" s="19"/>
      <c r="I167" s="19"/>
      <c r="J167" s="19"/>
      <c r="K167" s="19"/>
      <c r="L167" s="19"/>
      <c r="M167" s="19"/>
      <c r="N167" s="19"/>
      <c r="O167" s="20"/>
      <c r="P167" s="1"/>
      <c r="Q167" s="1"/>
    </row>
    <row r="168" spans="1:17" x14ac:dyDescent="0.2">
      <c r="A168" s="17">
        <v>30621</v>
      </c>
      <c r="B168" s="18">
        <v>1323.1</v>
      </c>
      <c r="C168" s="19">
        <v>1544.3</v>
      </c>
      <c r="D168" s="19"/>
      <c r="E168" s="19"/>
      <c r="F168" s="19"/>
      <c r="G168" s="19"/>
      <c r="H168" s="19"/>
      <c r="I168" s="19"/>
      <c r="J168" s="19"/>
      <c r="K168" s="19"/>
      <c r="L168" s="19"/>
      <c r="M168" s="19"/>
      <c r="N168" s="19"/>
      <c r="O168" s="20"/>
      <c r="P168" s="1"/>
      <c r="Q168" s="1"/>
    </row>
    <row r="169" spans="1:17" x14ac:dyDescent="0.2">
      <c r="A169" s="17">
        <v>30651</v>
      </c>
      <c r="B169" s="18">
        <v>1322.2</v>
      </c>
      <c r="C169" s="19">
        <v>1543.4</v>
      </c>
      <c r="D169" s="19"/>
      <c r="E169" s="19"/>
      <c r="F169" s="19"/>
      <c r="G169" s="19"/>
      <c r="H169" s="19"/>
      <c r="I169" s="19"/>
      <c r="J169" s="19"/>
      <c r="K169" s="19"/>
      <c r="L169" s="19"/>
      <c r="M169" s="19"/>
      <c r="N169" s="19"/>
      <c r="O169" s="20"/>
      <c r="P169" s="1"/>
      <c r="Q169" s="1"/>
    </row>
    <row r="170" spans="1:17" x14ac:dyDescent="0.2">
      <c r="A170" s="17">
        <v>30682</v>
      </c>
      <c r="B170" s="18">
        <v>1322.8</v>
      </c>
      <c r="C170" s="19">
        <v>1544</v>
      </c>
      <c r="D170" s="19"/>
      <c r="E170" s="19"/>
      <c r="F170" s="19"/>
      <c r="G170" s="19"/>
      <c r="H170" s="19"/>
      <c r="I170" s="19"/>
      <c r="J170" s="19"/>
      <c r="K170" s="19"/>
      <c r="L170" s="19"/>
      <c r="M170" s="19"/>
      <c r="N170" s="19"/>
      <c r="O170" s="20"/>
      <c r="P170" s="1"/>
      <c r="Q170" s="1"/>
    </row>
    <row r="171" spans="1:17" x14ac:dyDescent="0.2">
      <c r="A171" s="17">
        <v>30713</v>
      </c>
      <c r="B171" s="18">
        <v>1322.2</v>
      </c>
      <c r="C171" s="19">
        <v>1542.1</v>
      </c>
      <c r="D171" s="19"/>
      <c r="E171" s="19"/>
      <c r="F171" s="19"/>
      <c r="G171" s="19"/>
      <c r="H171" s="19"/>
      <c r="I171" s="19"/>
      <c r="J171" s="19"/>
      <c r="K171" s="19"/>
      <c r="L171" s="19"/>
      <c r="M171" s="19"/>
      <c r="N171" s="19"/>
      <c r="O171" s="20"/>
      <c r="P171" s="1"/>
      <c r="Q171" s="1"/>
    </row>
    <row r="172" spans="1:17" x14ac:dyDescent="0.2">
      <c r="A172" s="17">
        <v>30742</v>
      </c>
      <c r="B172" s="18">
        <v>1323.4</v>
      </c>
      <c r="C172" s="19">
        <v>1543.2</v>
      </c>
      <c r="D172" s="19"/>
      <c r="E172" s="19"/>
      <c r="F172" s="19"/>
      <c r="G172" s="19"/>
      <c r="H172" s="19"/>
      <c r="I172" s="19"/>
      <c r="J172" s="19"/>
      <c r="K172" s="19"/>
      <c r="L172" s="19"/>
      <c r="M172" s="19"/>
      <c r="N172" s="19"/>
      <c r="O172" s="20"/>
      <c r="P172" s="1"/>
      <c r="Q172" s="1"/>
    </row>
    <row r="173" spans="1:17" x14ac:dyDescent="0.2">
      <c r="A173" s="17">
        <v>30773</v>
      </c>
      <c r="B173" s="18">
        <v>1324.6</v>
      </c>
      <c r="C173" s="19">
        <v>1544.3</v>
      </c>
      <c r="D173" s="19"/>
      <c r="E173" s="19"/>
      <c r="F173" s="19"/>
      <c r="G173" s="19"/>
      <c r="H173" s="19"/>
      <c r="I173" s="19"/>
      <c r="J173" s="19"/>
      <c r="K173" s="19"/>
      <c r="L173" s="19"/>
      <c r="M173" s="19"/>
      <c r="N173" s="19"/>
      <c r="O173" s="20"/>
      <c r="P173" s="1"/>
      <c r="Q173" s="1"/>
    </row>
    <row r="174" spans="1:17" x14ac:dyDescent="0.2">
      <c r="A174" s="17">
        <v>30803</v>
      </c>
      <c r="B174" s="18">
        <v>1319.8</v>
      </c>
      <c r="C174" s="19">
        <v>1541.5</v>
      </c>
      <c r="D174" s="19"/>
      <c r="E174" s="19"/>
      <c r="F174" s="19"/>
      <c r="G174" s="19"/>
      <c r="H174" s="19"/>
      <c r="I174" s="19"/>
      <c r="J174" s="19"/>
      <c r="K174" s="19"/>
      <c r="L174" s="19"/>
      <c r="M174" s="19"/>
      <c r="N174" s="19"/>
      <c r="O174" s="20"/>
      <c r="P174" s="1"/>
      <c r="Q174" s="1"/>
    </row>
    <row r="175" spans="1:17" x14ac:dyDescent="0.2">
      <c r="A175" s="17">
        <v>30834</v>
      </c>
      <c r="B175" s="18">
        <v>1310.5999999999999</v>
      </c>
      <c r="C175" s="19">
        <v>1522.2</v>
      </c>
      <c r="D175" s="19"/>
      <c r="E175" s="19"/>
      <c r="F175" s="19"/>
      <c r="G175" s="19"/>
      <c r="H175" s="19"/>
      <c r="I175" s="19"/>
      <c r="J175" s="19"/>
      <c r="K175" s="19"/>
      <c r="L175" s="19"/>
      <c r="M175" s="19"/>
      <c r="N175" s="19"/>
      <c r="O175" s="20"/>
      <c r="P175" s="1"/>
      <c r="Q175" s="1"/>
    </row>
    <row r="176" spans="1:17" x14ac:dyDescent="0.2">
      <c r="A176" s="17">
        <v>30864</v>
      </c>
      <c r="B176" s="18">
        <v>1310.5999999999999</v>
      </c>
      <c r="C176" s="19">
        <v>1522.2</v>
      </c>
      <c r="D176" s="19"/>
      <c r="E176" s="19"/>
      <c r="F176" s="19"/>
      <c r="G176" s="19"/>
      <c r="H176" s="19"/>
      <c r="I176" s="19"/>
      <c r="J176" s="19"/>
      <c r="K176" s="19"/>
      <c r="L176" s="19"/>
      <c r="M176" s="19"/>
      <c r="N176" s="19"/>
      <c r="O176" s="20"/>
      <c r="P176" s="1"/>
      <c r="Q176" s="1"/>
    </row>
    <row r="177" spans="1:17" x14ac:dyDescent="0.2">
      <c r="A177" s="17">
        <v>30895</v>
      </c>
      <c r="B177" s="18">
        <v>1307</v>
      </c>
      <c r="C177" s="19">
        <v>1535.6</v>
      </c>
      <c r="D177" s="19"/>
      <c r="E177" s="19"/>
      <c r="F177" s="19"/>
      <c r="G177" s="19"/>
      <c r="H177" s="19"/>
      <c r="I177" s="19"/>
      <c r="J177" s="19"/>
      <c r="K177" s="19"/>
      <c r="L177" s="19"/>
      <c r="M177" s="19"/>
      <c r="N177" s="19"/>
      <c r="O177" s="20"/>
      <c r="P177" s="1"/>
      <c r="Q177" s="1"/>
    </row>
    <row r="178" spans="1:17" x14ac:dyDescent="0.2">
      <c r="A178" s="17">
        <v>30926</v>
      </c>
      <c r="B178" s="18">
        <v>1317.2</v>
      </c>
      <c r="C178" s="19">
        <v>1537.3</v>
      </c>
      <c r="D178" s="19"/>
      <c r="E178" s="19"/>
      <c r="F178" s="19"/>
      <c r="G178" s="19"/>
      <c r="H178" s="19"/>
      <c r="I178" s="19"/>
      <c r="J178" s="19"/>
      <c r="K178" s="19"/>
      <c r="L178" s="19"/>
      <c r="M178" s="19"/>
      <c r="N178" s="19"/>
      <c r="O178" s="20"/>
      <c r="P178" s="1"/>
      <c r="Q178" s="1"/>
    </row>
    <row r="179" spans="1:17" x14ac:dyDescent="0.2">
      <c r="A179" s="17">
        <v>30956</v>
      </c>
      <c r="B179" s="18">
        <v>1320</v>
      </c>
      <c r="C179" s="19">
        <v>1538.6</v>
      </c>
      <c r="D179" s="19"/>
      <c r="E179" s="19"/>
      <c r="F179" s="19"/>
      <c r="G179" s="19"/>
      <c r="H179" s="19"/>
      <c r="I179" s="19"/>
      <c r="J179" s="19"/>
      <c r="K179" s="19"/>
      <c r="L179" s="19"/>
      <c r="M179" s="19"/>
      <c r="N179" s="19"/>
      <c r="O179" s="20"/>
      <c r="P179" s="1"/>
      <c r="Q179" s="1"/>
    </row>
    <row r="180" spans="1:17" x14ac:dyDescent="0.2">
      <c r="A180" s="17">
        <v>30987</v>
      </c>
      <c r="B180" s="18">
        <v>1319.6</v>
      </c>
      <c r="C180" s="19">
        <v>1538</v>
      </c>
      <c r="D180" s="19"/>
      <c r="E180" s="19"/>
      <c r="F180" s="19"/>
      <c r="G180" s="19"/>
      <c r="H180" s="19"/>
      <c r="I180" s="19"/>
      <c r="J180" s="19"/>
      <c r="K180" s="19"/>
      <c r="L180" s="19"/>
      <c r="M180" s="19"/>
      <c r="N180" s="19"/>
      <c r="O180" s="20"/>
      <c r="P180" s="1"/>
      <c r="Q180" s="1"/>
    </row>
    <row r="181" spans="1:17" x14ac:dyDescent="0.2">
      <c r="A181" s="17">
        <v>31017</v>
      </c>
      <c r="B181" s="18">
        <v>1319.9</v>
      </c>
      <c r="C181" s="19">
        <v>1537.1</v>
      </c>
      <c r="D181" s="19"/>
      <c r="E181" s="19"/>
      <c r="F181" s="19"/>
      <c r="G181" s="19"/>
      <c r="H181" s="19"/>
      <c r="I181" s="19"/>
      <c r="J181" s="19"/>
      <c r="K181" s="19"/>
      <c r="L181" s="19"/>
      <c r="M181" s="19"/>
      <c r="N181" s="19"/>
      <c r="O181" s="20"/>
      <c r="P181" s="1"/>
      <c r="Q181" s="1"/>
    </row>
    <row r="182" spans="1:17" x14ac:dyDescent="0.2">
      <c r="A182" s="21">
        <v>31048</v>
      </c>
      <c r="B182" s="18">
        <v>1320.7</v>
      </c>
      <c r="C182" s="19">
        <v>1536.8</v>
      </c>
      <c r="D182" s="19"/>
      <c r="E182" s="19"/>
      <c r="F182" s="19"/>
      <c r="G182" s="19"/>
      <c r="H182" s="19"/>
      <c r="I182" s="19"/>
      <c r="J182" s="19"/>
      <c r="K182" s="19"/>
      <c r="L182" s="19"/>
      <c r="M182" s="19"/>
      <c r="N182" s="19"/>
      <c r="O182" s="20"/>
      <c r="P182" s="1"/>
      <c r="Q182" s="1"/>
    </row>
    <row r="183" spans="1:17" x14ac:dyDescent="0.2">
      <c r="A183" s="17">
        <v>31079</v>
      </c>
      <c r="B183" s="18">
        <v>1320.8</v>
      </c>
      <c r="C183" s="19">
        <v>1535.9</v>
      </c>
      <c r="D183" s="19"/>
      <c r="E183" s="19"/>
      <c r="F183" s="19"/>
      <c r="G183" s="19"/>
      <c r="H183" s="19"/>
      <c r="I183" s="19"/>
      <c r="J183" s="19"/>
      <c r="K183" s="19"/>
      <c r="L183" s="19"/>
      <c r="M183" s="19"/>
      <c r="N183" s="19"/>
      <c r="O183" s="20"/>
      <c r="P183" s="1"/>
      <c r="Q183" s="1"/>
    </row>
    <row r="184" spans="1:17" x14ac:dyDescent="0.2">
      <c r="A184" s="17">
        <v>31107</v>
      </c>
      <c r="B184" s="18">
        <v>1319.1</v>
      </c>
      <c r="C184" s="19">
        <v>1534.3</v>
      </c>
      <c r="D184" s="19"/>
      <c r="E184" s="19"/>
      <c r="F184" s="19"/>
      <c r="G184" s="19"/>
      <c r="H184" s="19"/>
      <c r="I184" s="19"/>
      <c r="J184" s="19"/>
      <c r="K184" s="19"/>
      <c r="L184" s="19"/>
      <c r="M184" s="19"/>
      <c r="N184" s="19"/>
      <c r="O184" s="20"/>
      <c r="P184" s="1"/>
      <c r="Q184" s="1"/>
    </row>
    <row r="185" spans="1:17" x14ac:dyDescent="0.2">
      <c r="A185" s="17">
        <v>31138</v>
      </c>
      <c r="B185" s="18">
        <v>1320.4</v>
      </c>
      <c r="C185" s="19">
        <v>1535.6</v>
      </c>
      <c r="D185" s="19"/>
      <c r="E185" s="19"/>
      <c r="F185" s="19"/>
      <c r="G185" s="19"/>
      <c r="H185" s="19"/>
      <c r="I185" s="19"/>
      <c r="J185" s="19"/>
      <c r="K185" s="19"/>
      <c r="L185" s="19"/>
      <c r="M185" s="19"/>
      <c r="N185" s="19"/>
      <c r="O185" s="20"/>
      <c r="P185" s="1"/>
      <c r="Q185" s="1"/>
    </row>
    <row r="186" spans="1:17" x14ac:dyDescent="0.2">
      <c r="A186" s="17">
        <v>31168</v>
      </c>
      <c r="B186" s="18">
        <v>1314.8</v>
      </c>
      <c r="C186" s="19">
        <v>1533.8</v>
      </c>
      <c r="D186" s="19"/>
      <c r="E186" s="19"/>
      <c r="F186" s="19"/>
      <c r="G186" s="19"/>
      <c r="H186" s="19"/>
      <c r="I186" s="19"/>
      <c r="J186" s="19"/>
      <c r="K186" s="19"/>
      <c r="L186" s="19"/>
      <c r="M186" s="19"/>
      <c r="N186" s="19"/>
      <c r="O186" s="20"/>
      <c r="P186" s="1"/>
      <c r="Q186" s="1"/>
    </row>
    <row r="187" spans="1:17" x14ac:dyDescent="0.2">
      <c r="A187" s="17">
        <v>31199</v>
      </c>
      <c r="B187" s="18"/>
      <c r="C187" s="19">
        <v>1532.5</v>
      </c>
      <c r="D187" s="19"/>
      <c r="E187" s="19"/>
      <c r="F187" s="19"/>
      <c r="G187" s="19"/>
      <c r="H187" s="19"/>
      <c r="I187" s="19"/>
      <c r="J187" s="19"/>
      <c r="K187" s="19"/>
      <c r="L187" s="19"/>
      <c r="M187" s="19"/>
      <c r="N187" s="19"/>
      <c r="O187" s="20"/>
      <c r="P187" s="1"/>
      <c r="Q187" s="1"/>
    </row>
    <row r="188" spans="1:17" x14ac:dyDescent="0.2">
      <c r="A188" s="17">
        <v>31229</v>
      </c>
      <c r="B188" s="18">
        <v>1307.3</v>
      </c>
      <c r="C188" s="19">
        <v>1534.1</v>
      </c>
      <c r="D188" s="19"/>
      <c r="E188" s="19"/>
      <c r="F188" s="19"/>
      <c r="G188" s="19"/>
      <c r="H188" s="19"/>
      <c r="I188" s="19"/>
      <c r="J188" s="19"/>
      <c r="K188" s="19"/>
      <c r="L188" s="19"/>
      <c r="M188" s="19"/>
      <c r="N188" s="19"/>
      <c r="O188" s="20"/>
      <c r="P188" s="1"/>
      <c r="Q188" s="1"/>
    </row>
    <row r="189" spans="1:17" x14ac:dyDescent="0.2">
      <c r="A189" s="17">
        <v>31260</v>
      </c>
      <c r="B189" s="18"/>
      <c r="C189" s="19">
        <v>1533.5</v>
      </c>
      <c r="D189" s="19"/>
      <c r="E189" s="19"/>
      <c r="F189" s="19"/>
      <c r="G189" s="19"/>
      <c r="H189" s="19"/>
      <c r="I189" s="19"/>
      <c r="J189" s="19"/>
      <c r="K189" s="19"/>
      <c r="L189" s="19"/>
      <c r="M189" s="19"/>
      <c r="N189" s="19"/>
      <c r="O189" s="20"/>
      <c r="P189" s="1"/>
      <c r="Q189" s="1"/>
    </row>
    <row r="190" spans="1:17" x14ac:dyDescent="0.2">
      <c r="A190" s="17">
        <v>31291</v>
      </c>
      <c r="B190" s="18">
        <v>1307.3</v>
      </c>
      <c r="C190" s="19">
        <v>1534.1</v>
      </c>
      <c r="D190" s="19"/>
      <c r="E190" s="19"/>
      <c r="F190" s="19"/>
      <c r="G190" s="19"/>
      <c r="H190" s="19"/>
      <c r="I190" s="19"/>
      <c r="J190" s="19"/>
      <c r="K190" s="19"/>
      <c r="L190" s="19"/>
      <c r="M190" s="19"/>
      <c r="N190" s="19"/>
      <c r="O190" s="20"/>
      <c r="P190" s="1"/>
      <c r="Q190" s="1"/>
    </row>
    <row r="191" spans="1:17" x14ac:dyDescent="0.2">
      <c r="A191" s="17">
        <v>31321</v>
      </c>
      <c r="B191" s="18">
        <v>1312.5</v>
      </c>
      <c r="C191" s="19">
        <v>1531.5</v>
      </c>
      <c r="D191" s="19"/>
      <c r="E191" s="19"/>
      <c r="F191" s="19"/>
      <c r="G191" s="19"/>
      <c r="H191" s="19"/>
      <c r="I191" s="19"/>
      <c r="J191" s="19"/>
      <c r="K191" s="19"/>
      <c r="L191" s="19"/>
      <c r="M191" s="19"/>
      <c r="N191" s="19"/>
      <c r="O191" s="20"/>
      <c r="P191" s="1"/>
      <c r="Q191" s="1"/>
    </row>
    <row r="192" spans="1:17" x14ac:dyDescent="0.2">
      <c r="A192" s="17">
        <v>31352</v>
      </c>
      <c r="B192" s="18">
        <v>1313.4</v>
      </c>
      <c r="C192" s="19">
        <v>1530.6</v>
      </c>
      <c r="D192" s="19"/>
      <c r="E192" s="19"/>
      <c r="F192" s="19"/>
      <c r="G192" s="19"/>
      <c r="H192" s="19"/>
      <c r="I192" s="19"/>
      <c r="J192" s="19"/>
      <c r="K192" s="19"/>
      <c r="L192" s="19"/>
      <c r="M192" s="19"/>
      <c r="N192" s="19"/>
      <c r="O192" s="20"/>
      <c r="P192" s="1"/>
      <c r="Q192" s="1"/>
    </row>
    <row r="193" spans="1:17" x14ac:dyDescent="0.2">
      <c r="A193" s="17">
        <v>31382</v>
      </c>
      <c r="B193" s="18">
        <v>1313.8</v>
      </c>
      <c r="C193" s="19">
        <v>1530.1</v>
      </c>
      <c r="D193" s="19"/>
      <c r="E193" s="19"/>
      <c r="F193" s="19"/>
      <c r="G193" s="19"/>
      <c r="H193" s="19"/>
      <c r="I193" s="19"/>
      <c r="J193" s="19"/>
      <c r="K193" s="19"/>
      <c r="L193" s="19"/>
      <c r="M193" s="19"/>
      <c r="N193" s="19"/>
      <c r="O193" s="20"/>
      <c r="P193" s="1"/>
      <c r="Q193" s="1"/>
    </row>
    <row r="194" spans="1:17" x14ac:dyDescent="0.2">
      <c r="A194" s="21">
        <v>31413</v>
      </c>
      <c r="B194" s="18">
        <v>1315.4</v>
      </c>
      <c r="C194" s="19"/>
      <c r="D194" s="19"/>
      <c r="E194" s="19"/>
      <c r="F194" s="19"/>
      <c r="G194" s="19"/>
      <c r="H194" s="19"/>
      <c r="I194" s="19"/>
      <c r="J194" s="19"/>
      <c r="K194" s="19"/>
      <c r="L194" s="19"/>
      <c r="M194" s="19"/>
      <c r="N194" s="19"/>
      <c r="O194" s="20"/>
      <c r="P194" s="1"/>
      <c r="Q194" s="1"/>
    </row>
    <row r="195" spans="1:17" x14ac:dyDescent="0.2">
      <c r="A195" s="17">
        <v>31444</v>
      </c>
      <c r="B195" s="18">
        <v>1315.5</v>
      </c>
      <c r="C195" s="19">
        <v>1529.8</v>
      </c>
      <c r="D195" s="19"/>
      <c r="E195" s="19"/>
      <c r="F195" s="19"/>
      <c r="G195" s="19"/>
      <c r="H195" s="19"/>
      <c r="I195" s="19"/>
      <c r="J195" s="19"/>
      <c r="K195" s="19"/>
      <c r="L195" s="19"/>
      <c r="M195" s="19"/>
      <c r="N195" s="19"/>
      <c r="O195" s="20"/>
      <c r="P195" s="1"/>
      <c r="Q195" s="1"/>
    </row>
    <row r="196" spans="1:17" x14ac:dyDescent="0.2">
      <c r="A196" s="17">
        <v>31472</v>
      </c>
      <c r="B196" s="18">
        <v>1308.2</v>
      </c>
      <c r="C196" s="19">
        <v>1532.5</v>
      </c>
      <c r="D196" s="19"/>
      <c r="E196" s="19"/>
      <c r="F196" s="19"/>
      <c r="G196" s="19"/>
      <c r="H196" s="19"/>
      <c r="I196" s="19"/>
      <c r="J196" s="19"/>
      <c r="K196" s="19"/>
      <c r="L196" s="19"/>
      <c r="M196" s="19"/>
      <c r="N196" s="19"/>
      <c r="O196" s="20"/>
      <c r="P196" s="1"/>
      <c r="Q196" s="1"/>
    </row>
    <row r="197" spans="1:17" x14ac:dyDescent="0.2">
      <c r="A197" s="17">
        <v>31503</v>
      </c>
      <c r="B197" s="18">
        <v>1316.5</v>
      </c>
      <c r="C197" s="19"/>
      <c r="D197" s="19"/>
      <c r="E197" s="19"/>
      <c r="F197" s="19"/>
      <c r="G197" s="19"/>
      <c r="H197" s="19"/>
      <c r="I197" s="19"/>
      <c r="J197" s="19"/>
      <c r="K197" s="19"/>
      <c r="L197" s="19"/>
      <c r="M197" s="19"/>
      <c r="N197" s="19"/>
      <c r="O197" s="20"/>
      <c r="P197" s="1"/>
      <c r="Q197" s="1"/>
    </row>
    <row r="198" spans="1:17" x14ac:dyDescent="0.2">
      <c r="A198" s="17">
        <v>31533</v>
      </c>
      <c r="B198" s="18">
        <v>1315.8</v>
      </c>
      <c r="C198" s="19"/>
      <c r="D198" s="19"/>
      <c r="E198" s="19"/>
      <c r="F198" s="19"/>
      <c r="G198" s="19"/>
      <c r="H198" s="19"/>
      <c r="I198" s="19"/>
      <c r="J198" s="19"/>
      <c r="K198" s="19"/>
      <c r="L198" s="19"/>
      <c r="M198" s="19"/>
      <c r="N198" s="19"/>
      <c r="O198" s="20"/>
      <c r="P198" s="1"/>
      <c r="Q198" s="1"/>
    </row>
    <row r="199" spans="1:17" x14ac:dyDescent="0.2">
      <c r="A199" s="17">
        <v>31564</v>
      </c>
      <c r="B199" s="18">
        <v>1315.5</v>
      </c>
      <c r="C199" s="19">
        <v>1532.3</v>
      </c>
      <c r="D199" s="19"/>
      <c r="E199" s="19"/>
      <c r="F199" s="19"/>
      <c r="G199" s="19"/>
      <c r="H199" s="19"/>
      <c r="I199" s="19"/>
      <c r="J199" s="19"/>
      <c r="K199" s="19"/>
      <c r="L199" s="19"/>
      <c r="M199" s="19"/>
      <c r="N199" s="19"/>
      <c r="O199" s="20"/>
      <c r="P199" s="1"/>
      <c r="Q199" s="1"/>
    </row>
    <row r="200" spans="1:17" x14ac:dyDescent="0.2">
      <c r="A200" s="17">
        <v>31594</v>
      </c>
      <c r="B200" s="18">
        <v>1306.5</v>
      </c>
      <c r="C200" s="19">
        <v>1532.8</v>
      </c>
      <c r="D200" s="19"/>
      <c r="E200" s="19"/>
      <c r="F200" s="19"/>
      <c r="G200" s="19"/>
      <c r="H200" s="19"/>
      <c r="I200" s="19"/>
      <c r="J200" s="19"/>
      <c r="K200" s="19"/>
      <c r="L200" s="19"/>
      <c r="M200" s="19"/>
      <c r="N200" s="19"/>
      <c r="O200" s="20"/>
      <c r="P200" s="1"/>
      <c r="Q200" s="1"/>
    </row>
    <row r="201" spans="1:17" x14ac:dyDescent="0.2">
      <c r="A201" s="17">
        <v>31625</v>
      </c>
      <c r="B201" s="18">
        <v>1306.0999999999999</v>
      </c>
      <c r="C201" s="19">
        <v>1529.8</v>
      </c>
      <c r="D201" s="19"/>
      <c r="E201" s="19"/>
      <c r="F201" s="19"/>
      <c r="G201" s="19"/>
      <c r="H201" s="19"/>
      <c r="I201" s="19"/>
      <c r="J201" s="19"/>
      <c r="K201" s="19"/>
      <c r="L201" s="19"/>
      <c r="M201" s="19"/>
      <c r="N201" s="19"/>
      <c r="O201" s="20"/>
      <c r="P201" s="1"/>
      <c r="Q201" s="1"/>
    </row>
    <row r="202" spans="1:17" x14ac:dyDescent="0.2">
      <c r="A202" s="17">
        <v>31656</v>
      </c>
      <c r="B202" s="18">
        <v>1308.4000000000001</v>
      </c>
      <c r="C202" s="19">
        <v>1533.7</v>
      </c>
      <c r="D202" s="19"/>
      <c r="E202" s="19"/>
      <c r="F202" s="19"/>
      <c r="G202" s="19"/>
      <c r="H202" s="19"/>
      <c r="I202" s="19"/>
      <c r="J202" s="19"/>
      <c r="K202" s="19"/>
      <c r="L202" s="19"/>
      <c r="M202" s="19"/>
      <c r="N202" s="19"/>
      <c r="O202" s="20"/>
      <c r="P202" s="1"/>
      <c r="Q202" s="1"/>
    </row>
    <row r="203" spans="1:17" x14ac:dyDescent="0.2">
      <c r="A203" s="17">
        <v>31686</v>
      </c>
      <c r="B203" s="18">
        <v>1310.9</v>
      </c>
      <c r="C203" s="19">
        <v>1536.3</v>
      </c>
      <c r="D203" s="19"/>
      <c r="E203" s="19"/>
      <c r="F203" s="19"/>
      <c r="G203" s="19"/>
      <c r="H203" s="19"/>
      <c r="I203" s="19"/>
      <c r="J203" s="19"/>
      <c r="K203" s="19"/>
      <c r="L203" s="19"/>
      <c r="M203" s="19"/>
      <c r="N203" s="19"/>
      <c r="O203" s="20"/>
      <c r="P203" s="1"/>
      <c r="Q203" s="1"/>
    </row>
    <row r="204" spans="1:17" x14ac:dyDescent="0.2">
      <c r="A204" s="17">
        <v>31717</v>
      </c>
      <c r="B204" s="18">
        <v>1310.9</v>
      </c>
      <c r="C204" s="19">
        <v>1532.6</v>
      </c>
      <c r="D204" s="19"/>
      <c r="E204" s="19"/>
      <c r="F204" s="19"/>
      <c r="G204" s="19"/>
      <c r="H204" s="19"/>
      <c r="I204" s="19"/>
      <c r="J204" s="19"/>
      <c r="K204" s="19"/>
      <c r="L204" s="19"/>
      <c r="M204" s="19"/>
      <c r="N204" s="19"/>
      <c r="O204" s="20"/>
      <c r="P204" s="1"/>
      <c r="Q204" s="1"/>
    </row>
    <row r="205" spans="1:17" x14ac:dyDescent="0.2">
      <c r="A205" s="17">
        <v>31747</v>
      </c>
      <c r="B205" s="18">
        <v>1311.3</v>
      </c>
      <c r="C205" s="19">
        <v>1530.7</v>
      </c>
      <c r="D205" s="19"/>
      <c r="E205" s="19"/>
      <c r="F205" s="19"/>
      <c r="G205" s="19"/>
      <c r="H205" s="19"/>
      <c r="I205" s="19"/>
      <c r="J205" s="19"/>
      <c r="K205" s="19"/>
      <c r="L205" s="19"/>
      <c r="M205" s="19"/>
      <c r="N205" s="19"/>
      <c r="O205" s="20"/>
      <c r="P205" s="1"/>
      <c r="Q205" s="1"/>
    </row>
    <row r="206" spans="1:17" x14ac:dyDescent="0.2">
      <c r="A206" s="21">
        <v>31778</v>
      </c>
      <c r="B206" s="18">
        <v>1311.1</v>
      </c>
      <c r="C206" s="19">
        <v>1532.3</v>
      </c>
      <c r="D206" s="19"/>
      <c r="E206" s="19"/>
      <c r="F206" s="19"/>
      <c r="G206" s="19"/>
      <c r="H206" s="19"/>
      <c r="I206" s="19"/>
      <c r="J206" s="19"/>
      <c r="K206" s="19"/>
      <c r="L206" s="19"/>
      <c r="M206" s="19"/>
      <c r="N206" s="19"/>
      <c r="O206" s="20"/>
      <c r="P206" s="1"/>
      <c r="Q206" s="1"/>
    </row>
    <row r="207" spans="1:17" x14ac:dyDescent="0.2">
      <c r="A207" s="17">
        <v>31809</v>
      </c>
      <c r="B207" s="18">
        <v>1309.3</v>
      </c>
      <c r="C207" s="19">
        <v>1533</v>
      </c>
      <c r="D207" s="19"/>
      <c r="E207" s="19"/>
      <c r="F207" s="19"/>
      <c r="G207" s="19"/>
      <c r="H207" s="19"/>
      <c r="I207" s="19"/>
      <c r="J207" s="19"/>
      <c r="K207" s="19"/>
      <c r="L207" s="19"/>
      <c r="M207" s="19"/>
      <c r="N207" s="19"/>
      <c r="O207" s="20"/>
      <c r="P207" s="1"/>
      <c r="Q207" s="1"/>
    </row>
    <row r="208" spans="1:17" x14ac:dyDescent="0.2">
      <c r="A208" s="17">
        <v>31837</v>
      </c>
      <c r="B208" s="18">
        <v>1310.3</v>
      </c>
      <c r="C208" s="19">
        <v>1532.2</v>
      </c>
      <c r="D208" s="19"/>
      <c r="E208" s="19"/>
      <c r="F208" s="19"/>
      <c r="G208" s="19"/>
      <c r="H208" s="19"/>
      <c r="I208" s="19"/>
      <c r="J208" s="19"/>
      <c r="K208" s="19"/>
      <c r="L208" s="19"/>
      <c r="M208" s="19"/>
      <c r="N208" s="19"/>
      <c r="O208" s="20"/>
      <c r="P208" s="1"/>
      <c r="Q208" s="1"/>
    </row>
    <row r="209" spans="1:17" x14ac:dyDescent="0.2">
      <c r="A209" s="17">
        <v>31868</v>
      </c>
      <c r="B209" s="18">
        <v>1308.0999999999999</v>
      </c>
      <c r="C209" s="19">
        <v>1531.7</v>
      </c>
      <c r="D209" s="19"/>
      <c r="E209" s="19"/>
      <c r="F209" s="19"/>
      <c r="G209" s="19"/>
      <c r="H209" s="19"/>
      <c r="I209" s="19"/>
      <c r="J209" s="19"/>
      <c r="K209" s="19"/>
      <c r="L209" s="19"/>
      <c r="M209" s="19"/>
      <c r="N209" s="19"/>
      <c r="O209" s="20"/>
      <c r="P209" s="1"/>
      <c r="Q209" s="1"/>
    </row>
    <row r="210" spans="1:17" x14ac:dyDescent="0.2">
      <c r="A210" s="17">
        <v>31898</v>
      </c>
      <c r="B210" s="18">
        <v>1311.3</v>
      </c>
      <c r="C210" s="19">
        <v>1529.8</v>
      </c>
      <c r="D210" s="19"/>
      <c r="E210" s="19"/>
      <c r="F210" s="19"/>
      <c r="G210" s="19"/>
      <c r="H210" s="19"/>
      <c r="I210" s="19"/>
      <c r="J210" s="19"/>
      <c r="K210" s="19"/>
      <c r="L210" s="19"/>
      <c r="M210" s="19"/>
      <c r="N210" s="19"/>
      <c r="O210" s="20"/>
      <c r="P210" s="1"/>
      <c r="Q210" s="1"/>
    </row>
    <row r="211" spans="1:17" x14ac:dyDescent="0.2">
      <c r="A211" s="17">
        <v>31929</v>
      </c>
      <c r="B211" s="18"/>
      <c r="C211" s="19"/>
      <c r="D211" s="19"/>
      <c r="E211" s="19"/>
      <c r="F211" s="19"/>
      <c r="G211" s="19"/>
      <c r="H211" s="19"/>
      <c r="I211" s="19"/>
      <c r="J211" s="19"/>
      <c r="K211" s="19"/>
      <c r="L211" s="19"/>
      <c r="M211" s="19"/>
      <c r="N211" s="19"/>
      <c r="O211" s="20"/>
      <c r="P211" s="1"/>
      <c r="Q211" s="1"/>
    </row>
    <row r="212" spans="1:17" x14ac:dyDescent="0.2">
      <c r="A212" s="17">
        <v>31959</v>
      </c>
      <c r="B212" s="18">
        <v>1303.8</v>
      </c>
      <c r="C212" s="19"/>
      <c r="D212" s="19"/>
      <c r="E212" s="19"/>
      <c r="F212" s="19"/>
      <c r="G212" s="19"/>
      <c r="H212" s="19"/>
      <c r="I212" s="19"/>
      <c r="J212" s="19"/>
      <c r="K212" s="19"/>
      <c r="L212" s="19"/>
      <c r="M212" s="19"/>
      <c r="N212" s="19"/>
      <c r="O212" s="20"/>
      <c r="P212" s="1"/>
      <c r="Q212" s="1"/>
    </row>
    <row r="213" spans="1:17" x14ac:dyDescent="0.2">
      <c r="A213" s="17">
        <v>31990</v>
      </c>
      <c r="B213" s="18">
        <v>1303.5999999999999</v>
      </c>
      <c r="C213" s="19"/>
      <c r="D213" s="19"/>
      <c r="E213" s="19"/>
      <c r="F213" s="19"/>
      <c r="G213" s="19"/>
      <c r="H213" s="19"/>
      <c r="I213" s="19"/>
      <c r="J213" s="19"/>
      <c r="K213" s="19"/>
      <c r="L213" s="19"/>
      <c r="M213" s="19"/>
      <c r="N213" s="19"/>
      <c r="O213" s="20"/>
      <c r="P213" s="1"/>
      <c r="Q213" s="1"/>
    </row>
    <row r="214" spans="1:17" x14ac:dyDescent="0.2">
      <c r="A214" s="17">
        <v>32021</v>
      </c>
      <c r="B214" s="18">
        <v>1306</v>
      </c>
      <c r="C214" s="19"/>
      <c r="D214" s="19"/>
      <c r="E214" s="19"/>
      <c r="F214" s="19"/>
      <c r="G214" s="19"/>
      <c r="H214" s="19"/>
      <c r="I214" s="19"/>
      <c r="J214" s="19"/>
      <c r="K214" s="19"/>
      <c r="L214" s="19"/>
      <c r="M214" s="19"/>
      <c r="N214" s="19"/>
      <c r="O214" s="20"/>
      <c r="P214" s="1"/>
      <c r="Q214" s="1"/>
    </row>
    <row r="215" spans="1:17" x14ac:dyDescent="0.2">
      <c r="A215" s="17">
        <v>32051</v>
      </c>
      <c r="B215" s="18">
        <v>1305.5</v>
      </c>
      <c r="C215" s="19"/>
      <c r="D215" s="19"/>
      <c r="E215" s="19"/>
      <c r="F215" s="19"/>
      <c r="G215" s="19"/>
      <c r="H215" s="19"/>
      <c r="I215" s="19"/>
      <c r="J215" s="19"/>
      <c r="K215" s="19"/>
      <c r="L215" s="19"/>
      <c r="M215" s="19"/>
      <c r="N215" s="19"/>
      <c r="O215" s="20"/>
      <c r="P215" s="1"/>
      <c r="Q215" s="1"/>
    </row>
    <row r="216" spans="1:17" x14ac:dyDescent="0.2">
      <c r="A216" s="17">
        <v>32082</v>
      </c>
      <c r="B216" s="18">
        <v>1308</v>
      </c>
      <c r="C216" s="19"/>
      <c r="D216" s="19"/>
      <c r="E216" s="19"/>
      <c r="F216" s="19"/>
      <c r="G216" s="19"/>
      <c r="H216" s="19"/>
      <c r="I216" s="19"/>
      <c r="J216" s="19"/>
      <c r="K216" s="19"/>
      <c r="L216" s="19"/>
      <c r="M216" s="19"/>
      <c r="N216" s="19"/>
      <c r="O216" s="20"/>
      <c r="P216" s="1"/>
      <c r="Q216" s="1"/>
    </row>
    <row r="217" spans="1:17" x14ac:dyDescent="0.2">
      <c r="A217" s="17">
        <v>32112</v>
      </c>
      <c r="B217" s="18">
        <v>1309.2</v>
      </c>
      <c r="C217" s="19"/>
      <c r="D217" s="19"/>
      <c r="E217" s="19"/>
      <c r="F217" s="19"/>
      <c r="G217" s="19"/>
      <c r="H217" s="19"/>
      <c r="I217" s="19"/>
      <c r="J217" s="19"/>
      <c r="K217" s="19"/>
      <c r="L217" s="19"/>
      <c r="M217" s="19"/>
      <c r="N217" s="19"/>
      <c r="O217" s="20"/>
      <c r="P217" s="1"/>
      <c r="Q217" s="1"/>
    </row>
    <row r="218" spans="1:17" x14ac:dyDescent="0.2">
      <c r="A218" s="21">
        <v>32143</v>
      </c>
      <c r="B218" s="18">
        <v>1309.8</v>
      </c>
      <c r="C218" s="19"/>
      <c r="D218" s="19"/>
      <c r="E218" s="19"/>
      <c r="F218" s="19"/>
      <c r="G218" s="19"/>
      <c r="H218" s="19"/>
      <c r="I218" s="19"/>
      <c r="J218" s="19"/>
      <c r="K218" s="19"/>
      <c r="L218" s="19"/>
      <c r="M218" s="19"/>
      <c r="N218" s="19"/>
      <c r="O218" s="20"/>
      <c r="P218" s="1"/>
      <c r="Q218" s="1"/>
    </row>
    <row r="219" spans="1:17" x14ac:dyDescent="0.2">
      <c r="A219" s="17">
        <v>32174</v>
      </c>
      <c r="B219" s="18">
        <v>1307</v>
      </c>
      <c r="C219" s="19"/>
      <c r="D219" s="19"/>
      <c r="E219" s="19"/>
      <c r="F219" s="19"/>
      <c r="G219" s="19"/>
      <c r="H219" s="19"/>
      <c r="I219" s="19"/>
      <c r="J219" s="19"/>
      <c r="K219" s="19"/>
      <c r="L219" s="19"/>
      <c r="M219" s="19"/>
      <c r="N219" s="19"/>
      <c r="O219" s="20"/>
      <c r="P219" s="1"/>
      <c r="Q219" s="1"/>
    </row>
    <row r="220" spans="1:17" x14ac:dyDescent="0.2">
      <c r="A220" s="17">
        <v>32203</v>
      </c>
      <c r="B220" s="18">
        <v>1309.8</v>
      </c>
      <c r="C220" s="19"/>
      <c r="D220" s="19"/>
      <c r="E220" s="19"/>
      <c r="F220" s="19"/>
      <c r="G220" s="19"/>
      <c r="H220" s="19"/>
      <c r="I220" s="19"/>
      <c r="J220" s="19"/>
      <c r="K220" s="19"/>
      <c r="L220" s="19"/>
      <c r="M220" s="19"/>
      <c r="N220" s="19"/>
      <c r="O220" s="20"/>
      <c r="P220" s="1"/>
      <c r="Q220" s="1"/>
    </row>
    <row r="221" spans="1:17" x14ac:dyDescent="0.2">
      <c r="A221" s="17">
        <v>32234</v>
      </c>
      <c r="B221" s="18">
        <v>1310</v>
      </c>
      <c r="C221" s="19"/>
      <c r="D221" s="19"/>
      <c r="E221" s="19"/>
      <c r="F221" s="19"/>
      <c r="G221" s="19"/>
      <c r="H221" s="19"/>
      <c r="I221" s="19"/>
      <c r="J221" s="19"/>
      <c r="K221" s="19"/>
      <c r="L221" s="19"/>
      <c r="M221" s="19"/>
      <c r="N221" s="19"/>
      <c r="O221" s="20"/>
      <c r="P221" s="1"/>
      <c r="Q221" s="1"/>
    </row>
    <row r="222" spans="1:17" x14ac:dyDescent="0.2">
      <c r="A222" s="17">
        <v>32264</v>
      </c>
      <c r="B222" s="18"/>
      <c r="C222" s="19"/>
      <c r="D222" s="19"/>
      <c r="E222" s="19"/>
      <c r="F222" s="19"/>
      <c r="G222" s="19"/>
      <c r="H222" s="19"/>
      <c r="I222" s="19"/>
      <c r="J222" s="19"/>
      <c r="K222" s="19"/>
      <c r="L222" s="19"/>
      <c r="M222" s="19"/>
      <c r="N222" s="19"/>
      <c r="O222" s="20"/>
      <c r="P222" s="1"/>
      <c r="Q222" s="1"/>
    </row>
    <row r="223" spans="1:17" x14ac:dyDescent="0.2">
      <c r="A223" s="17">
        <v>32295</v>
      </c>
      <c r="B223" s="18">
        <v>1308.8</v>
      </c>
      <c r="C223" s="19"/>
      <c r="D223" s="19"/>
      <c r="E223" s="19"/>
      <c r="F223" s="19"/>
      <c r="G223" s="19"/>
      <c r="H223" s="19"/>
      <c r="I223" s="19"/>
      <c r="J223" s="19"/>
      <c r="K223" s="19"/>
      <c r="L223" s="19"/>
      <c r="M223" s="19"/>
      <c r="N223" s="19"/>
      <c r="O223" s="20"/>
      <c r="P223" s="1"/>
      <c r="Q223" s="1"/>
    </row>
    <row r="224" spans="1:17" x14ac:dyDescent="0.2">
      <c r="A224" s="17">
        <v>32325</v>
      </c>
      <c r="B224" s="18">
        <v>1306.0999999999999</v>
      </c>
      <c r="C224" s="19"/>
      <c r="D224" s="19"/>
      <c r="E224" s="19"/>
      <c r="F224" s="19"/>
      <c r="G224" s="19"/>
      <c r="H224" s="19"/>
      <c r="I224" s="19"/>
      <c r="J224" s="19"/>
      <c r="K224" s="19"/>
      <c r="L224" s="19"/>
      <c r="M224" s="19"/>
      <c r="N224" s="19"/>
      <c r="O224" s="20"/>
      <c r="P224" s="1"/>
      <c r="Q224" s="1"/>
    </row>
    <row r="225" spans="1:17" x14ac:dyDescent="0.2">
      <c r="A225" s="17">
        <v>32356</v>
      </c>
      <c r="B225" s="18">
        <v>1306.0999999999999</v>
      </c>
      <c r="C225" s="19"/>
      <c r="D225" s="19"/>
      <c r="E225" s="19"/>
      <c r="F225" s="19"/>
      <c r="G225" s="19"/>
      <c r="H225" s="19"/>
      <c r="I225" s="19"/>
      <c r="J225" s="19"/>
      <c r="K225" s="19"/>
      <c r="L225" s="19"/>
      <c r="M225" s="19"/>
      <c r="N225" s="19"/>
      <c r="O225" s="20"/>
      <c r="P225" s="1"/>
      <c r="Q225" s="1"/>
    </row>
    <row r="226" spans="1:17" x14ac:dyDescent="0.2">
      <c r="A226" s="17">
        <v>32387</v>
      </c>
      <c r="B226" s="18">
        <v>1305</v>
      </c>
      <c r="C226" s="19"/>
      <c r="D226" s="19"/>
      <c r="E226" s="19"/>
      <c r="F226" s="19"/>
      <c r="G226" s="19"/>
      <c r="H226" s="19"/>
      <c r="I226" s="19"/>
      <c r="J226" s="19"/>
      <c r="K226" s="19"/>
      <c r="L226" s="19"/>
      <c r="M226" s="19"/>
      <c r="N226" s="19"/>
      <c r="O226" s="20"/>
      <c r="P226" s="1"/>
      <c r="Q226" s="1"/>
    </row>
    <row r="227" spans="1:17" x14ac:dyDescent="0.2">
      <c r="A227" s="17">
        <v>32417</v>
      </c>
      <c r="B227" s="18">
        <v>1302.5999999999999</v>
      </c>
      <c r="C227" s="19"/>
      <c r="D227" s="19"/>
      <c r="E227" s="19"/>
      <c r="F227" s="19"/>
      <c r="G227" s="19"/>
      <c r="H227" s="19"/>
      <c r="I227" s="19"/>
      <c r="J227" s="19"/>
      <c r="K227" s="19"/>
      <c r="L227" s="19"/>
      <c r="M227" s="19"/>
      <c r="N227" s="19"/>
      <c r="O227" s="20"/>
      <c r="P227" s="1"/>
      <c r="Q227" s="1"/>
    </row>
    <row r="228" spans="1:17" x14ac:dyDescent="0.2">
      <c r="A228" s="17">
        <v>32448</v>
      </c>
      <c r="B228" s="18">
        <v>1304.5999999999999</v>
      </c>
      <c r="C228" s="19"/>
      <c r="D228" s="19"/>
      <c r="E228" s="19"/>
      <c r="F228" s="19"/>
      <c r="G228" s="19"/>
      <c r="H228" s="19"/>
      <c r="I228" s="19"/>
      <c r="J228" s="19"/>
      <c r="K228" s="19"/>
      <c r="L228" s="19"/>
      <c r="M228" s="19"/>
      <c r="N228" s="19"/>
      <c r="O228" s="20"/>
      <c r="P228" s="1"/>
      <c r="Q228" s="1"/>
    </row>
    <row r="229" spans="1:17" x14ac:dyDescent="0.2">
      <c r="A229" s="22">
        <v>32478</v>
      </c>
      <c r="B229" s="18">
        <v>1305.2</v>
      </c>
      <c r="C229" s="19"/>
      <c r="D229" s="19">
        <v>1290.2</v>
      </c>
      <c r="E229" s="19">
        <v>1154.9000000000001</v>
      </c>
      <c r="F229" s="19">
        <v>1306</v>
      </c>
      <c r="G229" s="19">
        <v>1052.9000000000001</v>
      </c>
      <c r="H229" s="19">
        <v>1354.5</v>
      </c>
      <c r="I229" s="19"/>
      <c r="J229" s="19"/>
      <c r="K229" s="19">
        <v>1159.0999999999999</v>
      </c>
      <c r="L229" s="19"/>
      <c r="M229" s="19"/>
      <c r="N229" s="19"/>
      <c r="O229" s="20"/>
      <c r="P229" s="1"/>
      <c r="Q229" s="1"/>
    </row>
    <row r="230" spans="1:17" x14ac:dyDescent="0.2">
      <c r="A230" s="22">
        <v>32509</v>
      </c>
      <c r="B230" s="18">
        <v>1305.9000000000001</v>
      </c>
      <c r="C230" s="19"/>
      <c r="D230" s="19">
        <v>1291.5999999999999</v>
      </c>
      <c r="E230" s="19">
        <v>1146.5999999999999</v>
      </c>
      <c r="F230" s="19">
        <v>1307.8</v>
      </c>
      <c r="G230" s="19"/>
      <c r="H230" s="19">
        <v>1356.3</v>
      </c>
      <c r="I230" s="19"/>
      <c r="J230" s="19"/>
      <c r="K230" s="19">
        <v>1155.5</v>
      </c>
      <c r="L230" s="19"/>
      <c r="M230" s="19"/>
      <c r="N230" s="19"/>
      <c r="O230" s="20"/>
      <c r="P230" s="1"/>
      <c r="Q230" s="1"/>
    </row>
    <row r="231" spans="1:17" x14ac:dyDescent="0.2">
      <c r="A231" s="22">
        <v>32540</v>
      </c>
      <c r="B231" s="18">
        <v>1306</v>
      </c>
      <c r="C231" s="19"/>
      <c r="D231" s="19">
        <v>1292.5999999999999</v>
      </c>
      <c r="E231" s="19">
        <v>1147.8</v>
      </c>
      <c r="F231" s="19">
        <v>1310.0999999999999</v>
      </c>
      <c r="G231" s="19"/>
      <c r="H231" s="19">
        <v>1355.5</v>
      </c>
      <c r="I231" s="19">
        <v>1164.9000000000001</v>
      </c>
      <c r="J231" s="19"/>
      <c r="K231" s="19">
        <v>1152.7</v>
      </c>
      <c r="L231" s="19">
        <v>1154.2</v>
      </c>
      <c r="M231" s="19"/>
      <c r="N231" s="19"/>
      <c r="O231" s="20"/>
      <c r="P231" s="1"/>
      <c r="Q231" s="1"/>
    </row>
    <row r="232" spans="1:17" x14ac:dyDescent="0.2">
      <c r="A232" s="22">
        <v>32568</v>
      </c>
      <c r="B232" s="18">
        <v>1305.3</v>
      </c>
      <c r="C232" s="19"/>
      <c r="D232" s="19">
        <v>1294.7</v>
      </c>
      <c r="E232" s="19">
        <v>1142.4000000000001</v>
      </c>
      <c r="F232" s="19">
        <v>1310.7</v>
      </c>
      <c r="G232" s="19">
        <v>1069.3</v>
      </c>
      <c r="H232" s="19">
        <v>1355.5</v>
      </c>
      <c r="I232" s="19">
        <v>1158.5999999999999</v>
      </c>
      <c r="J232" s="19"/>
      <c r="K232" s="19">
        <v>1146.2</v>
      </c>
      <c r="L232" s="19">
        <v>1149.2</v>
      </c>
      <c r="M232" s="19"/>
      <c r="N232" s="19"/>
      <c r="O232" s="20"/>
      <c r="P232" s="1"/>
      <c r="Q232" s="1"/>
    </row>
    <row r="233" spans="1:17" x14ac:dyDescent="0.2">
      <c r="A233" s="22">
        <v>32599</v>
      </c>
      <c r="B233" s="18">
        <v>1307.8</v>
      </c>
      <c r="C233" s="19"/>
      <c r="D233" s="19">
        <v>1295.9000000000001</v>
      </c>
      <c r="E233" s="19">
        <v>1149.3</v>
      </c>
      <c r="F233" s="19">
        <v>1310.7</v>
      </c>
      <c r="G233" s="19"/>
      <c r="H233" s="19">
        <v>1355.5</v>
      </c>
      <c r="I233" s="19"/>
      <c r="J233" s="19"/>
      <c r="K233" s="19">
        <v>1154.2</v>
      </c>
      <c r="L233" s="19">
        <v>1156.3</v>
      </c>
      <c r="M233" s="19"/>
      <c r="N233" s="19"/>
      <c r="O233" s="20"/>
      <c r="P233" s="1"/>
      <c r="Q233" s="1"/>
    </row>
    <row r="234" spans="1:17" x14ac:dyDescent="0.2">
      <c r="A234" s="22">
        <v>32629</v>
      </c>
      <c r="B234" s="18">
        <v>1296.7</v>
      </c>
      <c r="C234" s="19"/>
      <c r="D234" s="19"/>
      <c r="E234" s="19">
        <v>1150.8</v>
      </c>
      <c r="F234" s="19">
        <v>1303.3</v>
      </c>
      <c r="G234" s="19">
        <v>1061.8</v>
      </c>
      <c r="H234" s="19">
        <v>1349.1</v>
      </c>
      <c r="I234" s="19">
        <v>1164.5</v>
      </c>
      <c r="J234" s="19"/>
      <c r="K234" s="19">
        <v>1156.9000000000001</v>
      </c>
      <c r="L234" s="19">
        <v>1152</v>
      </c>
      <c r="M234" s="19"/>
      <c r="N234" s="19"/>
      <c r="O234" s="20"/>
      <c r="P234" s="1"/>
      <c r="Q234" s="1"/>
    </row>
    <row r="235" spans="1:17" x14ac:dyDescent="0.2">
      <c r="A235" s="22">
        <v>32660</v>
      </c>
      <c r="B235" s="18"/>
      <c r="C235" s="19"/>
      <c r="D235" s="19">
        <v>1288.9000000000001</v>
      </c>
      <c r="E235" s="19">
        <v>1150.5999999999999</v>
      </c>
      <c r="F235" s="19">
        <v>1302.8</v>
      </c>
      <c r="G235" s="19"/>
      <c r="H235" s="19">
        <v>1348.6</v>
      </c>
      <c r="I235" s="19">
        <v>1165.5</v>
      </c>
      <c r="J235" s="19"/>
      <c r="K235" s="19">
        <v>1155.4000000000001</v>
      </c>
      <c r="L235" s="19"/>
      <c r="M235" s="19"/>
      <c r="N235" s="19"/>
      <c r="O235" s="20"/>
      <c r="P235" s="1"/>
      <c r="Q235" s="1"/>
    </row>
    <row r="236" spans="1:17" x14ac:dyDescent="0.2">
      <c r="A236" s="22">
        <v>32690</v>
      </c>
      <c r="B236" s="18">
        <v>1308.8</v>
      </c>
      <c r="C236" s="19"/>
      <c r="D236" s="19">
        <v>1295.5</v>
      </c>
      <c r="E236" s="19"/>
      <c r="F236" s="19">
        <v>1311.4</v>
      </c>
      <c r="G236" s="19"/>
      <c r="H236" s="19">
        <v>1359.7</v>
      </c>
      <c r="I236" s="19"/>
      <c r="J236" s="19"/>
      <c r="K236" s="19">
        <v>1150</v>
      </c>
      <c r="L236" s="19"/>
      <c r="M236" s="19"/>
      <c r="N236" s="19"/>
      <c r="O236" s="20"/>
      <c r="P236" s="1"/>
      <c r="Q236" s="1"/>
    </row>
    <row r="237" spans="1:17" x14ac:dyDescent="0.2">
      <c r="A237" s="22">
        <v>32721</v>
      </c>
      <c r="B237" s="18">
        <v>1297.4000000000001</v>
      </c>
      <c r="C237" s="19"/>
      <c r="D237" s="19">
        <v>1289.8</v>
      </c>
      <c r="E237" s="19">
        <v>1145.0999999999999</v>
      </c>
      <c r="F237" s="19">
        <v>1303.8</v>
      </c>
      <c r="G237" s="19"/>
      <c r="H237" s="19">
        <v>1351.3</v>
      </c>
      <c r="I237" s="19">
        <v>1160.5</v>
      </c>
      <c r="J237" s="19"/>
      <c r="K237" s="19">
        <v>1147.0999999999999</v>
      </c>
      <c r="L237" s="19">
        <v>1148.8</v>
      </c>
      <c r="M237" s="19"/>
      <c r="N237" s="19"/>
      <c r="O237" s="20"/>
      <c r="P237" s="1"/>
      <c r="Q237" s="1"/>
    </row>
    <row r="238" spans="1:17" x14ac:dyDescent="0.2">
      <c r="A238" s="22">
        <v>32752</v>
      </c>
      <c r="B238" s="18"/>
      <c r="C238" s="19"/>
      <c r="D238" s="19">
        <v>1292.5999999999999</v>
      </c>
      <c r="E238" s="19"/>
      <c r="F238" s="19">
        <v>1310.0999999999999</v>
      </c>
      <c r="G238" s="19"/>
      <c r="H238" s="19">
        <v>1355.5</v>
      </c>
      <c r="I238" s="19"/>
      <c r="J238" s="19"/>
      <c r="K238" s="19"/>
      <c r="L238" s="19"/>
      <c r="M238" s="19"/>
      <c r="N238" s="19"/>
      <c r="O238" s="20"/>
      <c r="P238" s="1"/>
      <c r="Q238" s="1"/>
    </row>
    <row r="239" spans="1:17" x14ac:dyDescent="0.2">
      <c r="A239" s="22">
        <v>32782</v>
      </c>
      <c r="B239" s="18"/>
      <c r="C239" s="19"/>
      <c r="D239" s="19">
        <v>1276.8</v>
      </c>
      <c r="E239" s="19">
        <v>1131</v>
      </c>
      <c r="F239" s="19">
        <v>1363</v>
      </c>
      <c r="G239" s="19">
        <v>1053.9000000000001</v>
      </c>
      <c r="H239" s="19">
        <v>1346.8</v>
      </c>
      <c r="I239" s="19"/>
      <c r="J239" s="19"/>
      <c r="K239" s="19">
        <v>1135.3</v>
      </c>
      <c r="L239" s="19"/>
      <c r="M239" s="19"/>
      <c r="N239" s="19"/>
      <c r="O239" s="20"/>
      <c r="P239" s="1"/>
      <c r="Q239" s="1"/>
    </row>
    <row r="240" spans="1:17" x14ac:dyDescent="0.2">
      <c r="A240" s="22">
        <v>32813</v>
      </c>
      <c r="B240" s="18">
        <v>1297.8</v>
      </c>
      <c r="C240" s="19"/>
      <c r="D240" s="19">
        <v>1282.9000000000001</v>
      </c>
      <c r="E240" s="19">
        <v>1217</v>
      </c>
      <c r="F240" s="19">
        <v>1301.8</v>
      </c>
      <c r="G240" s="19"/>
      <c r="H240" s="19">
        <v>1347.7</v>
      </c>
      <c r="I240" s="19"/>
      <c r="J240" s="19"/>
      <c r="K240" s="19">
        <v>1132</v>
      </c>
      <c r="L240" s="19">
        <v>1138.3</v>
      </c>
      <c r="M240" s="19"/>
      <c r="N240" s="19"/>
      <c r="O240" s="20"/>
      <c r="P240" s="1"/>
      <c r="Q240" s="1"/>
    </row>
    <row r="241" spans="1:17" s="29" customFormat="1" x14ac:dyDescent="0.2">
      <c r="A241" s="23">
        <v>32843</v>
      </c>
      <c r="B241" s="24">
        <v>1296.4000000000001</v>
      </c>
      <c r="C241" s="25"/>
      <c r="D241" s="25">
        <v>1282.3</v>
      </c>
      <c r="E241" s="25">
        <v>1127.0999999999999</v>
      </c>
      <c r="F241" s="25">
        <v>1299.4000000000001</v>
      </c>
      <c r="G241" s="25">
        <v>1064</v>
      </c>
      <c r="H241" s="25">
        <v>1349.1</v>
      </c>
      <c r="I241" s="25"/>
      <c r="J241" s="25"/>
      <c r="K241" s="25">
        <v>1133.7</v>
      </c>
      <c r="L241" s="25"/>
      <c r="M241" s="25"/>
      <c r="N241" s="25"/>
      <c r="O241" s="26"/>
      <c r="P241" s="27"/>
      <c r="Q241" s="28"/>
    </row>
    <row r="242" spans="1:17" x14ac:dyDescent="0.2">
      <c r="A242" s="22">
        <v>32874</v>
      </c>
      <c r="B242" s="18">
        <v>1294.0999999999999</v>
      </c>
      <c r="C242" s="19"/>
      <c r="D242" s="19">
        <v>1283.3</v>
      </c>
      <c r="E242" s="19">
        <v>1131.7</v>
      </c>
      <c r="F242" s="19">
        <v>1297.3</v>
      </c>
      <c r="G242" s="19"/>
      <c r="H242" s="19">
        <v>1348.5</v>
      </c>
      <c r="I242" s="19"/>
      <c r="J242" s="19"/>
      <c r="K242" s="19">
        <v>1134.8</v>
      </c>
      <c r="L242" s="19">
        <v>1141.5999999999999</v>
      </c>
      <c r="M242" s="19"/>
      <c r="N242" s="19"/>
      <c r="O242" s="20"/>
    </row>
    <row r="243" spans="1:17" x14ac:dyDescent="0.2">
      <c r="A243" s="22">
        <v>32905</v>
      </c>
      <c r="B243" s="18">
        <v>1295.5999999999999</v>
      </c>
      <c r="C243" s="19"/>
      <c r="D243" s="19">
        <v>1283.4000000000001</v>
      </c>
      <c r="E243" s="19">
        <v>1132.0999999999999</v>
      </c>
      <c r="F243" s="19">
        <v>1300.7</v>
      </c>
      <c r="G243" s="19">
        <v>1029.5</v>
      </c>
      <c r="H243" s="19">
        <v>1347.4</v>
      </c>
      <c r="I243" s="19">
        <v>1145.8</v>
      </c>
      <c r="J243" s="19"/>
      <c r="K243" s="19"/>
      <c r="L243" s="19">
        <v>1137.5</v>
      </c>
      <c r="M243" s="19"/>
      <c r="N243" s="19"/>
      <c r="O243" s="20"/>
    </row>
    <row r="244" spans="1:17" x14ac:dyDescent="0.2">
      <c r="A244" s="22">
        <v>32933</v>
      </c>
      <c r="B244" s="18">
        <v>1291</v>
      </c>
      <c r="C244" s="19"/>
      <c r="D244" s="19">
        <v>1284</v>
      </c>
      <c r="E244" s="19">
        <v>1132.0999999999999</v>
      </c>
      <c r="F244" s="19">
        <v>1297.9000000000001</v>
      </c>
      <c r="G244" s="19">
        <v>1029.5</v>
      </c>
      <c r="H244" s="19">
        <v>1348.6</v>
      </c>
      <c r="I244" s="19">
        <v>1145.8</v>
      </c>
      <c r="J244" s="19"/>
      <c r="K244" s="19">
        <v>1132.5</v>
      </c>
      <c r="L244" s="19">
        <v>1137.5</v>
      </c>
      <c r="M244" s="19"/>
      <c r="N244" s="19"/>
      <c r="O244" s="20"/>
    </row>
    <row r="245" spans="1:17" x14ac:dyDescent="0.2">
      <c r="A245" s="22">
        <v>32964</v>
      </c>
      <c r="B245" s="18">
        <v>1289.0999999999999</v>
      </c>
      <c r="C245" s="19"/>
      <c r="D245" s="19">
        <v>1279</v>
      </c>
      <c r="E245" s="19">
        <v>1129.3</v>
      </c>
      <c r="F245" s="19">
        <v>1299.0999999999999</v>
      </c>
      <c r="G245" s="19">
        <v>1029.3</v>
      </c>
      <c r="H245" s="19">
        <v>1347.9</v>
      </c>
      <c r="I245" s="19">
        <v>1146.7</v>
      </c>
      <c r="J245" s="19"/>
      <c r="K245" s="19">
        <v>1134.9000000000001</v>
      </c>
      <c r="L245" s="19">
        <v>1135.5</v>
      </c>
      <c r="M245" s="19"/>
      <c r="N245" s="19"/>
      <c r="O245" s="20"/>
    </row>
    <row r="246" spans="1:17" x14ac:dyDescent="0.2">
      <c r="A246" s="22">
        <v>32994</v>
      </c>
      <c r="B246" s="18">
        <v>1285</v>
      </c>
      <c r="C246" s="19"/>
      <c r="D246" s="19">
        <v>1270.8</v>
      </c>
      <c r="E246" s="19">
        <v>1127.4000000000001</v>
      </c>
      <c r="F246" s="19">
        <v>1293.8</v>
      </c>
      <c r="G246" s="19">
        <v>1060.8</v>
      </c>
      <c r="H246" s="19">
        <v>1345.1</v>
      </c>
      <c r="I246" s="19">
        <v>1149</v>
      </c>
      <c r="J246" s="19"/>
      <c r="K246" s="19">
        <v>1134.9000000000001</v>
      </c>
      <c r="L246" s="19">
        <v>1132.9000000000001</v>
      </c>
      <c r="M246" s="19"/>
      <c r="N246" s="19"/>
      <c r="O246" s="20"/>
    </row>
    <row r="247" spans="1:17" x14ac:dyDescent="0.2">
      <c r="A247" s="22">
        <v>33025</v>
      </c>
      <c r="B247" s="18">
        <v>1286.0999999999999</v>
      </c>
      <c r="C247" s="19"/>
      <c r="D247" s="19">
        <v>1267.8</v>
      </c>
      <c r="E247" s="19">
        <v>1124.3</v>
      </c>
      <c r="F247" s="19">
        <v>1293.4000000000001</v>
      </c>
      <c r="G247" s="19">
        <v>1024</v>
      </c>
      <c r="H247" s="19">
        <v>1342.5</v>
      </c>
      <c r="I247" s="19">
        <v>1143.2</v>
      </c>
      <c r="J247" s="19"/>
      <c r="K247" s="19">
        <v>1122.5999999999999</v>
      </c>
      <c r="L247" s="19">
        <v>1134.5999999999999</v>
      </c>
      <c r="M247" s="19"/>
      <c r="N247" s="19"/>
      <c r="O247" s="20"/>
    </row>
    <row r="248" spans="1:17" x14ac:dyDescent="0.2">
      <c r="A248" s="22">
        <v>33055</v>
      </c>
      <c r="B248" s="18">
        <v>1279.7</v>
      </c>
      <c r="C248" s="19"/>
      <c r="D248" s="19">
        <v>1268.0999999999999</v>
      </c>
      <c r="E248" s="19">
        <v>1119.3</v>
      </c>
      <c r="F248" s="19">
        <v>1289.3</v>
      </c>
      <c r="G248" s="19">
        <v>1028.3</v>
      </c>
      <c r="H248" s="19">
        <v>1342.1</v>
      </c>
      <c r="I248" s="19">
        <v>1132.5</v>
      </c>
      <c r="J248" s="19"/>
      <c r="K248" s="19">
        <v>1122.3</v>
      </c>
      <c r="L248" s="19">
        <v>1132.9000000000001</v>
      </c>
      <c r="M248" s="19"/>
      <c r="N248" s="19"/>
      <c r="O248" s="20"/>
    </row>
    <row r="249" spans="1:17" x14ac:dyDescent="0.2">
      <c r="A249" s="22">
        <v>33086</v>
      </c>
      <c r="B249" s="18">
        <v>1286.2</v>
      </c>
      <c r="C249" s="19"/>
      <c r="D249" s="19">
        <v>1265.2</v>
      </c>
      <c r="E249" s="19">
        <v>1111.9000000000001</v>
      </c>
      <c r="F249" s="19">
        <v>1288</v>
      </c>
      <c r="G249" s="19">
        <v>1027.8</v>
      </c>
      <c r="H249" s="19">
        <v>1334.8</v>
      </c>
      <c r="I249" s="19">
        <v>1134.9000000000001</v>
      </c>
      <c r="J249" s="19"/>
      <c r="K249" s="19">
        <v>1121.0999999999999</v>
      </c>
      <c r="L249" s="19">
        <v>1129.3</v>
      </c>
      <c r="M249" s="19"/>
      <c r="N249" s="19"/>
      <c r="O249" s="20"/>
    </row>
    <row r="250" spans="1:17" x14ac:dyDescent="0.2">
      <c r="A250" s="22">
        <v>33117</v>
      </c>
      <c r="B250" s="18">
        <v>1284.8</v>
      </c>
      <c r="C250" s="19"/>
      <c r="D250" s="19">
        <v>1267.9000000000001</v>
      </c>
      <c r="E250" s="19">
        <v>1115.0999999999999</v>
      </c>
      <c r="F250" s="19">
        <v>1289.8</v>
      </c>
      <c r="G250" s="19">
        <v>1019.9</v>
      </c>
      <c r="H250" s="19">
        <v>1339.7</v>
      </c>
      <c r="I250" s="19">
        <v>1135.7</v>
      </c>
      <c r="J250" s="19">
        <v>1228</v>
      </c>
      <c r="K250" s="19">
        <v>1116.0999999999999</v>
      </c>
      <c r="L250" s="19">
        <v>1122.7</v>
      </c>
      <c r="M250" s="19"/>
      <c r="N250" s="19"/>
      <c r="O250" s="20"/>
    </row>
    <row r="251" spans="1:17" x14ac:dyDescent="0.2">
      <c r="A251" s="22">
        <v>33147</v>
      </c>
      <c r="B251" s="18">
        <v>1273</v>
      </c>
      <c r="C251" s="19"/>
      <c r="D251" s="19">
        <v>1266.7</v>
      </c>
      <c r="E251" s="19">
        <v>1108.4000000000001</v>
      </c>
      <c r="F251" s="19">
        <v>1284.9000000000001</v>
      </c>
      <c r="G251" s="19">
        <v>1019.9</v>
      </c>
      <c r="H251" s="19">
        <v>1338.2</v>
      </c>
      <c r="I251" s="19">
        <v>1129.7</v>
      </c>
      <c r="J251" s="19">
        <v>1224.2</v>
      </c>
      <c r="K251" s="19">
        <v>1117.8</v>
      </c>
      <c r="L251" s="19">
        <v>1122.7</v>
      </c>
      <c r="M251" s="19"/>
      <c r="N251" s="19"/>
      <c r="O251" s="20"/>
    </row>
    <row r="252" spans="1:17" x14ac:dyDescent="0.2">
      <c r="A252" s="22">
        <v>33178</v>
      </c>
      <c r="B252" s="18">
        <v>1272.7</v>
      </c>
      <c r="C252" s="19"/>
      <c r="D252" s="19">
        <v>1246.7</v>
      </c>
      <c r="E252" s="19">
        <v>1116.5</v>
      </c>
      <c r="F252" s="19">
        <v>1277.8</v>
      </c>
      <c r="G252" s="19">
        <v>1030.9000000000001</v>
      </c>
      <c r="H252" s="19">
        <v>1334.4</v>
      </c>
      <c r="I252" s="19">
        <v>1131.2</v>
      </c>
      <c r="J252" s="19">
        <v>1219.0999999999999</v>
      </c>
      <c r="K252" s="19">
        <v>1122.4000000000001</v>
      </c>
      <c r="L252" s="19">
        <v>1131.5</v>
      </c>
      <c r="M252" s="19"/>
      <c r="N252" s="19"/>
      <c r="O252" s="20"/>
    </row>
    <row r="253" spans="1:17" x14ac:dyDescent="0.2">
      <c r="A253" s="22">
        <v>33208</v>
      </c>
      <c r="B253" s="18">
        <v>1273.5999999999999</v>
      </c>
      <c r="C253" s="19"/>
      <c r="D253" s="19">
        <v>1263.4000000000001</v>
      </c>
      <c r="E253" s="19">
        <v>1112.5</v>
      </c>
      <c r="F253" s="19">
        <v>1284.7</v>
      </c>
      <c r="G253" s="19">
        <v>1023.3</v>
      </c>
      <c r="H253" s="19">
        <v>1336.2</v>
      </c>
      <c r="I253" s="19">
        <v>1125.2</v>
      </c>
      <c r="J253" s="19">
        <v>1216.2</v>
      </c>
      <c r="K253" s="19">
        <v>1112.2</v>
      </c>
      <c r="L253" s="19">
        <v>1128.5999999999999</v>
      </c>
      <c r="M253" s="19"/>
      <c r="N253" s="19"/>
      <c r="O253" s="20"/>
    </row>
    <row r="254" spans="1:17" x14ac:dyDescent="0.2">
      <c r="A254" s="22">
        <v>33239</v>
      </c>
      <c r="B254" s="18">
        <v>1272</v>
      </c>
      <c r="C254" s="19"/>
      <c r="D254" s="19">
        <v>1263</v>
      </c>
      <c r="E254" s="19">
        <v>1129</v>
      </c>
      <c r="F254" s="19">
        <v>1284</v>
      </c>
      <c r="G254" s="19">
        <v>1011</v>
      </c>
      <c r="H254" s="19">
        <v>1326</v>
      </c>
      <c r="I254" s="19">
        <v>1113</v>
      </c>
      <c r="J254" s="19">
        <v>1194</v>
      </c>
      <c r="K254" s="19">
        <v>1112</v>
      </c>
      <c r="L254" s="19">
        <v>1127</v>
      </c>
      <c r="M254" s="19"/>
      <c r="N254" s="19"/>
      <c r="O254" s="20"/>
    </row>
    <row r="255" spans="1:17" x14ac:dyDescent="0.2">
      <c r="A255" s="22">
        <v>33270</v>
      </c>
      <c r="B255" s="18">
        <v>1273</v>
      </c>
      <c r="C255" s="19">
        <v>1525</v>
      </c>
      <c r="D255" s="19">
        <v>1260</v>
      </c>
      <c r="E255" s="19">
        <v>1108</v>
      </c>
      <c r="F255" s="19">
        <v>1283</v>
      </c>
      <c r="G255" s="19">
        <v>1010</v>
      </c>
      <c r="H255" s="19">
        <v>1322</v>
      </c>
      <c r="I255" s="19">
        <v>1109</v>
      </c>
      <c r="J255" s="19">
        <v>1197</v>
      </c>
      <c r="K255" s="19">
        <v>1112</v>
      </c>
      <c r="L255" s="19">
        <v>1133</v>
      </c>
      <c r="M255" s="19"/>
      <c r="N255" s="19"/>
      <c r="O255" s="20"/>
    </row>
    <row r="256" spans="1:17" x14ac:dyDescent="0.2">
      <c r="A256" s="22">
        <v>33298</v>
      </c>
      <c r="B256" s="18">
        <v>1277</v>
      </c>
      <c r="C256" s="19"/>
      <c r="D256" s="19">
        <v>1265</v>
      </c>
      <c r="E256" s="19">
        <v>1104</v>
      </c>
      <c r="F256" s="19">
        <v>1288</v>
      </c>
      <c r="G256" s="19">
        <v>1014</v>
      </c>
      <c r="H256" s="19">
        <v>1326</v>
      </c>
      <c r="I256" s="19">
        <v>1107</v>
      </c>
      <c r="J256" s="19">
        <v>1200</v>
      </c>
      <c r="K256" s="19">
        <v>1108</v>
      </c>
      <c r="L256" s="19">
        <v>1129</v>
      </c>
      <c r="M256" s="19"/>
      <c r="N256" s="19"/>
      <c r="O256" s="20"/>
    </row>
    <row r="257" spans="1:23" x14ac:dyDescent="0.2">
      <c r="A257" s="22">
        <v>33329</v>
      </c>
      <c r="B257" s="18">
        <v>1281</v>
      </c>
      <c r="C257" s="19"/>
      <c r="D257" s="19">
        <v>1264</v>
      </c>
      <c r="E257" s="19">
        <v>1104</v>
      </c>
      <c r="F257" s="19">
        <v>1290</v>
      </c>
      <c r="G257" s="19">
        <v>1024</v>
      </c>
      <c r="H257" s="19">
        <v>1330</v>
      </c>
      <c r="I257" s="19">
        <v>1110</v>
      </c>
      <c r="J257" s="19">
        <v>1205</v>
      </c>
      <c r="K257" s="19">
        <v>1097</v>
      </c>
      <c r="L257" s="19">
        <v>1119</v>
      </c>
      <c r="M257" s="19"/>
      <c r="N257" s="19"/>
      <c r="O257" s="20"/>
    </row>
    <row r="258" spans="1:23" x14ac:dyDescent="0.2">
      <c r="A258" s="22">
        <v>33359</v>
      </c>
      <c r="B258" s="18">
        <v>1275</v>
      </c>
      <c r="C258" s="19"/>
      <c r="D258" s="19">
        <v>1261</v>
      </c>
      <c r="E258" s="19">
        <v>1111</v>
      </c>
      <c r="F258" s="19">
        <v>1284</v>
      </c>
      <c r="G258" s="19">
        <v>1013</v>
      </c>
      <c r="H258" s="19">
        <v>1326</v>
      </c>
      <c r="I258" s="19">
        <v>1108</v>
      </c>
      <c r="J258" s="19">
        <v>1208</v>
      </c>
      <c r="K258" s="19">
        <v>1115</v>
      </c>
      <c r="L258" s="19">
        <v>1121</v>
      </c>
      <c r="M258" s="19"/>
      <c r="N258" s="19"/>
      <c r="O258" s="20"/>
    </row>
    <row r="259" spans="1:23" x14ac:dyDescent="0.2">
      <c r="A259" s="22">
        <v>33390</v>
      </c>
      <c r="B259" s="18">
        <v>1265</v>
      </c>
      <c r="C259" s="19"/>
      <c r="D259" s="19">
        <v>1254</v>
      </c>
      <c r="E259" s="19">
        <v>1113</v>
      </c>
      <c r="F259" s="19">
        <v>1278</v>
      </c>
      <c r="G259" s="19">
        <v>1017</v>
      </c>
      <c r="H259" s="19">
        <v>1323</v>
      </c>
      <c r="I259" s="19">
        <v>1120</v>
      </c>
      <c r="J259" s="19">
        <v>1199</v>
      </c>
      <c r="K259" s="19">
        <v>1120</v>
      </c>
      <c r="L259" s="19">
        <v>1123</v>
      </c>
      <c r="M259" s="19"/>
      <c r="N259" s="19"/>
      <c r="O259" s="20"/>
    </row>
    <row r="260" spans="1:23" x14ac:dyDescent="0.2">
      <c r="A260" s="22">
        <v>33420</v>
      </c>
      <c r="B260" s="18">
        <v>1265</v>
      </c>
      <c r="C260" s="19"/>
      <c r="D260" s="19">
        <v>1256</v>
      </c>
      <c r="E260" s="19">
        <v>1112</v>
      </c>
      <c r="F260" s="19">
        <v>1275</v>
      </c>
      <c r="G260" s="19">
        <v>1017</v>
      </c>
      <c r="H260" s="19">
        <v>1324</v>
      </c>
      <c r="I260" s="19">
        <v>1120</v>
      </c>
      <c r="J260" s="19">
        <v>1197</v>
      </c>
      <c r="K260" s="19">
        <v>1098</v>
      </c>
      <c r="L260" s="19">
        <v>1122</v>
      </c>
      <c r="M260" s="19"/>
      <c r="N260" s="19"/>
      <c r="O260" s="20"/>
    </row>
    <row r="261" spans="1:23" x14ac:dyDescent="0.2">
      <c r="A261" s="22">
        <v>33451</v>
      </c>
      <c r="B261" s="18">
        <v>1260</v>
      </c>
      <c r="C261" s="19"/>
      <c r="D261" s="19">
        <v>1256</v>
      </c>
      <c r="E261" s="19">
        <v>1114</v>
      </c>
      <c r="F261" s="19">
        <v>1272</v>
      </c>
      <c r="G261" s="19">
        <v>1018</v>
      </c>
      <c r="H261" s="19">
        <v>1304</v>
      </c>
      <c r="I261" s="19">
        <v>1122</v>
      </c>
      <c r="J261" s="19">
        <v>1194</v>
      </c>
      <c r="K261" s="19">
        <v>1119</v>
      </c>
      <c r="L261" s="19">
        <v>1124</v>
      </c>
      <c r="M261" s="19"/>
      <c r="N261" s="19"/>
      <c r="O261" s="20"/>
    </row>
    <row r="262" spans="1:23" x14ac:dyDescent="0.2">
      <c r="A262" s="22">
        <v>33482</v>
      </c>
      <c r="B262" s="18">
        <v>1261</v>
      </c>
      <c r="C262" s="19"/>
      <c r="D262" s="19">
        <v>1256</v>
      </c>
      <c r="E262" s="19">
        <v>1113</v>
      </c>
      <c r="F262" s="19">
        <v>1273</v>
      </c>
      <c r="G262" s="19">
        <v>1020</v>
      </c>
      <c r="H262" s="19">
        <v>1322</v>
      </c>
      <c r="I262" s="19">
        <v>1122</v>
      </c>
      <c r="J262" s="19">
        <v>1192</v>
      </c>
      <c r="K262" s="19">
        <v>1117</v>
      </c>
      <c r="L262" s="19">
        <v>1122</v>
      </c>
      <c r="M262" s="19"/>
      <c r="N262" s="19"/>
      <c r="O262" s="20"/>
    </row>
    <row r="263" spans="1:23" x14ac:dyDescent="0.2">
      <c r="A263" s="22">
        <v>33512</v>
      </c>
      <c r="B263" s="18">
        <v>1256</v>
      </c>
      <c r="C263" s="19"/>
      <c r="D263" s="19">
        <v>1245</v>
      </c>
      <c r="E263" s="19">
        <v>1111</v>
      </c>
      <c r="F263" s="19">
        <v>1270</v>
      </c>
      <c r="G263" s="19">
        <v>1017</v>
      </c>
      <c r="H263" s="19">
        <v>1306</v>
      </c>
      <c r="I263" s="19">
        <v>1108</v>
      </c>
      <c r="J263" s="19">
        <v>1190</v>
      </c>
      <c r="K263" s="19">
        <v>1111</v>
      </c>
      <c r="L263" s="19">
        <v>1122</v>
      </c>
      <c r="M263" s="19"/>
      <c r="N263" s="19"/>
      <c r="O263" s="20"/>
    </row>
    <row r="264" spans="1:23" x14ac:dyDescent="0.2">
      <c r="A264" s="22">
        <v>33543</v>
      </c>
      <c r="B264" s="18">
        <v>1259</v>
      </c>
      <c r="C264" s="19">
        <v>1530</v>
      </c>
      <c r="D264" s="19">
        <v>1244</v>
      </c>
      <c r="E264" s="19">
        <v>1104</v>
      </c>
      <c r="F264" s="19">
        <v>1267</v>
      </c>
      <c r="G264" s="19">
        <v>1024</v>
      </c>
      <c r="H264" s="19">
        <v>1327</v>
      </c>
      <c r="I264" s="19">
        <v>1105</v>
      </c>
      <c r="J264" s="19">
        <v>1191</v>
      </c>
      <c r="K264" s="19">
        <v>1109</v>
      </c>
      <c r="L264" s="19">
        <v>1122</v>
      </c>
      <c r="M264" s="19"/>
      <c r="N264" s="19"/>
      <c r="O264" s="20"/>
    </row>
    <row r="265" spans="1:23" x14ac:dyDescent="0.2">
      <c r="A265" s="22">
        <v>33573</v>
      </c>
      <c r="B265" s="18">
        <v>1256</v>
      </c>
      <c r="C265" s="19"/>
      <c r="D265" s="19">
        <v>1244</v>
      </c>
      <c r="E265" s="19"/>
      <c r="F265" s="19"/>
      <c r="G265" s="19">
        <v>1017</v>
      </c>
      <c r="H265" s="19">
        <v>1325</v>
      </c>
      <c r="I265" s="19">
        <v>1111</v>
      </c>
      <c r="J265" s="19">
        <v>1191</v>
      </c>
      <c r="K265" s="19">
        <v>1110</v>
      </c>
      <c r="L265" s="19">
        <v>1126</v>
      </c>
      <c r="M265" s="19"/>
      <c r="N265" s="19"/>
      <c r="O265" s="20"/>
    </row>
    <row r="266" spans="1:23" x14ac:dyDescent="0.2">
      <c r="A266" s="22">
        <v>33604</v>
      </c>
      <c r="B266" s="18">
        <v>1259</v>
      </c>
      <c r="C266" s="19">
        <v>1529</v>
      </c>
      <c r="D266" s="19">
        <v>1246</v>
      </c>
      <c r="E266" s="19">
        <v>1115</v>
      </c>
      <c r="F266" s="19">
        <v>1273</v>
      </c>
      <c r="G266" s="19">
        <v>1022</v>
      </c>
      <c r="H266" s="19">
        <v>1327</v>
      </c>
      <c r="I266" s="19">
        <v>1108</v>
      </c>
      <c r="J266" s="19">
        <v>1191</v>
      </c>
      <c r="K266" s="19">
        <v>1108</v>
      </c>
      <c r="L266" s="19">
        <v>1120</v>
      </c>
      <c r="M266" s="19"/>
      <c r="N266" s="19"/>
      <c r="O266" s="20"/>
    </row>
    <row r="267" spans="1:23" x14ac:dyDescent="0.2">
      <c r="A267" s="22">
        <v>33635</v>
      </c>
      <c r="B267" s="18">
        <v>1266</v>
      </c>
      <c r="C267" s="19">
        <v>1529</v>
      </c>
      <c r="D267" s="19">
        <v>1252</v>
      </c>
      <c r="E267" s="19">
        <v>1102</v>
      </c>
      <c r="F267" s="19">
        <v>1266</v>
      </c>
      <c r="G267" s="19">
        <v>1019</v>
      </c>
      <c r="H267" s="19">
        <v>1304</v>
      </c>
      <c r="I267" s="19">
        <v>1102</v>
      </c>
      <c r="J267" s="19">
        <v>1193</v>
      </c>
      <c r="K267" s="19">
        <v>1108</v>
      </c>
      <c r="L267" s="19">
        <v>1118</v>
      </c>
      <c r="M267" s="19"/>
      <c r="N267" s="19"/>
      <c r="O267" s="20"/>
    </row>
    <row r="268" spans="1:23" x14ac:dyDescent="0.2">
      <c r="A268" s="22">
        <v>33664</v>
      </c>
      <c r="B268" s="18">
        <v>1266</v>
      </c>
      <c r="C268" s="19">
        <v>1533</v>
      </c>
      <c r="D268" s="19">
        <v>1255</v>
      </c>
      <c r="E268" s="19">
        <v>1105</v>
      </c>
      <c r="F268" s="19">
        <v>1276</v>
      </c>
      <c r="G268" s="19">
        <v>1026</v>
      </c>
      <c r="H268" s="19">
        <v>1317</v>
      </c>
      <c r="I268" s="19">
        <v>1115</v>
      </c>
      <c r="J268" s="19">
        <v>1202</v>
      </c>
      <c r="K268" s="19">
        <v>1111</v>
      </c>
      <c r="L268" s="19">
        <v>1125</v>
      </c>
      <c r="M268" s="19"/>
      <c r="N268" s="19"/>
      <c r="O268" s="20"/>
    </row>
    <row r="269" spans="1:23" x14ac:dyDescent="0.2">
      <c r="A269" s="22">
        <v>33695</v>
      </c>
      <c r="B269" s="18">
        <v>1270</v>
      </c>
      <c r="C269" s="19">
        <v>1533</v>
      </c>
      <c r="D269" s="19">
        <v>1259</v>
      </c>
      <c r="E269" s="19">
        <v>1105</v>
      </c>
      <c r="F269" s="19"/>
      <c r="G269" s="19">
        <v>1035</v>
      </c>
      <c r="H269" s="19"/>
      <c r="I269" s="19">
        <v>1107</v>
      </c>
      <c r="J269" s="19">
        <v>1205</v>
      </c>
      <c r="K269" s="19">
        <v>1110</v>
      </c>
      <c r="L269" s="19">
        <v>1125</v>
      </c>
      <c r="M269" s="19"/>
      <c r="N269" s="19"/>
      <c r="O269" s="20"/>
    </row>
    <row r="270" spans="1:23" x14ac:dyDescent="0.2">
      <c r="A270" s="22">
        <v>33725</v>
      </c>
      <c r="B270" s="18">
        <v>1274</v>
      </c>
      <c r="C270" s="19">
        <v>1538</v>
      </c>
      <c r="D270" s="19">
        <v>1259</v>
      </c>
      <c r="E270" s="19">
        <v>1108</v>
      </c>
      <c r="F270" s="19">
        <v>1275</v>
      </c>
      <c r="G270" s="19">
        <v>1033</v>
      </c>
      <c r="H270" s="19">
        <v>1318</v>
      </c>
      <c r="I270" s="19">
        <v>1110</v>
      </c>
      <c r="J270" s="19">
        <v>1205</v>
      </c>
      <c r="K270" s="19">
        <v>1110</v>
      </c>
      <c r="L270" s="19">
        <v>1127</v>
      </c>
      <c r="M270" s="19"/>
      <c r="N270" s="19"/>
      <c r="O270" s="20"/>
    </row>
    <row r="271" spans="1:23" x14ac:dyDescent="0.2">
      <c r="A271" s="22">
        <v>33756</v>
      </c>
      <c r="B271" s="18">
        <v>1265</v>
      </c>
      <c r="C271" s="19">
        <v>1536</v>
      </c>
      <c r="D271" s="19">
        <v>1230</v>
      </c>
      <c r="E271" s="19">
        <v>1108</v>
      </c>
      <c r="F271" s="19">
        <v>1268</v>
      </c>
      <c r="G271" s="19">
        <v>1029</v>
      </c>
      <c r="H271" s="19">
        <v>1310</v>
      </c>
      <c r="I271" s="19">
        <v>1111</v>
      </c>
      <c r="J271" s="19">
        <v>1203</v>
      </c>
      <c r="K271" s="19">
        <v>1108</v>
      </c>
      <c r="L271" s="19">
        <v>1103</v>
      </c>
      <c r="M271" s="19"/>
      <c r="N271" s="19"/>
      <c r="O271" s="20"/>
      <c r="V271" s="1">
        <v>1350</v>
      </c>
    </row>
    <row r="272" spans="1:23" x14ac:dyDescent="0.2">
      <c r="A272" s="22">
        <v>33786</v>
      </c>
      <c r="B272" s="18">
        <v>1264</v>
      </c>
      <c r="C272" s="19">
        <v>1531</v>
      </c>
      <c r="D272" s="19">
        <v>1244</v>
      </c>
      <c r="E272" s="19">
        <v>1107</v>
      </c>
      <c r="F272" s="19">
        <v>1273</v>
      </c>
      <c r="G272" s="19">
        <v>1026</v>
      </c>
      <c r="H272" s="19">
        <v>1318</v>
      </c>
      <c r="I272" s="19">
        <v>1109</v>
      </c>
      <c r="J272" s="19">
        <v>1200</v>
      </c>
      <c r="K272" s="19">
        <v>1114</v>
      </c>
      <c r="L272" s="19">
        <v>1131</v>
      </c>
      <c r="M272" s="19"/>
      <c r="N272" s="19"/>
      <c r="O272" s="20"/>
      <c r="V272" s="1">
        <v>101</v>
      </c>
      <c r="W272" s="1">
        <f>+V271-V272</f>
        <v>1249</v>
      </c>
    </row>
    <row r="273" spans="1:23" x14ac:dyDescent="0.2">
      <c r="A273" s="22">
        <v>33817</v>
      </c>
      <c r="B273" s="18"/>
      <c r="C273" s="19">
        <v>1541</v>
      </c>
      <c r="D273" s="19">
        <v>1257</v>
      </c>
      <c r="E273" s="19">
        <v>1105</v>
      </c>
      <c r="F273" s="19">
        <v>1282</v>
      </c>
      <c r="G273" s="19">
        <v>1020</v>
      </c>
      <c r="H273" s="19">
        <v>1319</v>
      </c>
      <c r="I273" s="19">
        <v>1111</v>
      </c>
      <c r="J273" s="19">
        <v>1198</v>
      </c>
      <c r="K273" s="19">
        <v>1111</v>
      </c>
      <c r="L273" s="19">
        <v>1123</v>
      </c>
      <c r="M273" s="19"/>
      <c r="N273" s="19"/>
      <c r="O273" s="20"/>
      <c r="V273" s="1">
        <v>192</v>
      </c>
      <c r="W273" s="1">
        <f>+V271-V273</f>
        <v>1158</v>
      </c>
    </row>
    <row r="274" spans="1:23" x14ac:dyDescent="0.2">
      <c r="A274" s="22">
        <v>33848</v>
      </c>
      <c r="B274" s="18">
        <v>1265</v>
      </c>
      <c r="C274" s="19">
        <v>1534</v>
      </c>
      <c r="D274" s="19">
        <v>1233</v>
      </c>
      <c r="E274" s="19">
        <v>1104</v>
      </c>
      <c r="F274" s="19">
        <v>1268</v>
      </c>
      <c r="G274" s="19">
        <v>1020</v>
      </c>
      <c r="H274" s="19">
        <v>1318</v>
      </c>
      <c r="I274" s="19">
        <v>1107</v>
      </c>
      <c r="J274" s="19">
        <v>1199</v>
      </c>
      <c r="K274" s="19">
        <v>1110</v>
      </c>
      <c r="L274" s="19">
        <v>1122</v>
      </c>
      <c r="M274" s="19"/>
      <c r="N274" s="19"/>
      <c r="O274" s="20"/>
    </row>
    <row r="275" spans="1:23" x14ac:dyDescent="0.2">
      <c r="A275" s="22">
        <v>33878</v>
      </c>
      <c r="B275" s="18">
        <v>1267</v>
      </c>
      <c r="C275" s="19">
        <v>1538</v>
      </c>
      <c r="D275" s="19">
        <v>1247</v>
      </c>
      <c r="E275" s="19">
        <v>1103</v>
      </c>
      <c r="F275" s="19">
        <v>1270</v>
      </c>
      <c r="G275" s="19">
        <v>1018</v>
      </c>
      <c r="H275" s="19">
        <v>1319</v>
      </c>
      <c r="I275" s="19">
        <v>1107</v>
      </c>
      <c r="J275" s="19">
        <v>1188</v>
      </c>
      <c r="K275" s="19">
        <v>1106</v>
      </c>
      <c r="L275" s="19">
        <v>1124</v>
      </c>
      <c r="M275" s="19"/>
      <c r="N275" s="19"/>
      <c r="O275" s="20"/>
      <c r="V275" s="1">
        <v>1344</v>
      </c>
    </row>
    <row r="276" spans="1:23" x14ac:dyDescent="0.2">
      <c r="A276" s="22">
        <v>33909</v>
      </c>
      <c r="B276" s="18">
        <v>1271</v>
      </c>
      <c r="C276" s="19">
        <v>1538</v>
      </c>
      <c r="D276" s="19">
        <v>1255</v>
      </c>
      <c r="E276" s="19">
        <v>1103</v>
      </c>
      <c r="F276" s="19">
        <v>1274</v>
      </c>
      <c r="G276" s="19">
        <v>1014</v>
      </c>
      <c r="H276" s="19">
        <v>1321</v>
      </c>
      <c r="I276" s="19">
        <v>1107</v>
      </c>
      <c r="J276" s="19">
        <v>1191</v>
      </c>
      <c r="K276" s="19">
        <v>1108</v>
      </c>
      <c r="L276" s="19">
        <v>1121</v>
      </c>
      <c r="M276" s="19"/>
      <c r="N276" s="19"/>
      <c r="O276" s="20"/>
      <c r="V276" s="1">
        <v>60</v>
      </c>
      <c r="W276" s="1">
        <f>+V275-V276</f>
        <v>1284</v>
      </c>
    </row>
    <row r="277" spans="1:23" x14ac:dyDescent="0.2">
      <c r="A277" s="22">
        <v>33939</v>
      </c>
      <c r="B277" s="18"/>
      <c r="C277" s="19"/>
      <c r="D277" s="19">
        <v>1252</v>
      </c>
      <c r="E277" s="19">
        <v>1105</v>
      </c>
      <c r="F277" s="19">
        <v>1273</v>
      </c>
      <c r="G277" s="19">
        <v>1016</v>
      </c>
      <c r="H277" s="19">
        <v>1320</v>
      </c>
      <c r="I277" s="19">
        <v>1109</v>
      </c>
      <c r="J277" s="19">
        <v>1189</v>
      </c>
      <c r="K277" s="19">
        <v>1110</v>
      </c>
      <c r="L277" s="19">
        <v>1125</v>
      </c>
      <c r="M277" s="19"/>
      <c r="N277" s="19"/>
      <c r="O277" s="20"/>
      <c r="V277" s="1">
        <v>140</v>
      </c>
      <c r="W277" s="1">
        <f>+V275-V277</f>
        <v>1204</v>
      </c>
    </row>
    <row r="278" spans="1:23" x14ac:dyDescent="0.2">
      <c r="A278" s="22">
        <v>33970</v>
      </c>
      <c r="B278" s="18">
        <v>1282</v>
      </c>
      <c r="C278" s="19">
        <v>1540</v>
      </c>
      <c r="D278" s="19">
        <v>1266</v>
      </c>
      <c r="E278" s="19">
        <v>1108</v>
      </c>
      <c r="F278" s="19">
        <v>1287</v>
      </c>
      <c r="G278" s="19">
        <v>1027</v>
      </c>
      <c r="H278" s="19">
        <v>1332</v>
      </c>
      <c r="I278" s="19">
        <v>1113</v>
      </c>
      <c r="J278" s="19">
        <v>1193</v>
      </c>
      <c r="K278" s="19">
        <v>1114</v>
      </c>
      <c r="L278" s="19">
        <v>1124</v>
      </c>
      <c r="M278" s="19"/>
      <c r="N278" s="19"/>
      <c r="O278" s="20"/>
      <c r="U278" s="1">
        <f>+V271-W276</f>
        <v>66</v>
      </c>
      <c r="V278" s="1">
        <v>150</v>
      </c>
      <c r="W278" s="1">
        <f>+V275-V278</f>
        <v>1194</v>
      </c>
    </row>
    <row r="279" spans="1:23" x14ac:dyDescent="0.2">
      <c r="A279" s="22">
        <v>34001</v>
      </c>
      <c r="B279" s="18">
        <v>1290</v>
      </c>
      <c r="C279" s="19">
        <v>1543</v>
      </c>
      <c r="D279" s="19">
        <v>1271</v>
      </c>
      <c r="E279" s="19">
        <v>1106</v>
      </c>
      <c r="F279" s="19">
        <v>1298</v>
      </c>
      <c r="G279" s="19">
        <v>1032</v>
      </c>
      <c r="H279" s="19">
        <v>1338</v>
      </c>
      <c r="I279" s="19">
        <v>1109</v>
      </c>
      <c r="J279" s="19">
        <v>1197</v>
      </c>
      <c r="K279" s="19">
        <v>1109</v>
      </c>
      <c r="L279" s="19">
        <v>1127</v>
      </c>
      <c r="M279" s="19"/>
      <c r="N279" s="19"/>
      <c r="O279" s="20"/>
      <c r="U279" s="1">
        <f>1344-1249</f>
        <v>95</v>
      </c>
    </row>
    <row r="280" spans="1:23" x14ac:dyDescent="0.2">
      <c r="A280" s="22">
        <v>34029</v>
      </c>
      <c r="B280" s="18"/>
      <c r="C280" s="19"/>
      <c r="D280" s="19">
        <v>1270</v>
      </c>
      <c r="E280" s="19">
        <v>1114</v>
      </c>
      <c r="F280" s="19">
        <v>1296</v>
      </c>
      <c r="G280" s="19">
        <v>1047</v>
      </c>
      <c r="H280" s="19">
        <v>1335</v>
      </c>
      <c r="I280" s="19">
        <v>1117</v>
      </c>
      <c r="J280" s="19">
        <v>1213</v>
      </c>
      <c r="K280" s="19">
        <v>1120</v>
      </c>
      <c r="L280" s="19">
        <v>1133</v>
      </c>
      <c r="M280" s="19"/>
      <c r="N280" s="19"/>
      <c r="O280" s="20"/>
      <c r="U280" s="1" t="s">
        <v>20</v>
      </c>
    </row>
    <row r="281" spans="1:23" x14ac:dyDescent="0.2">
      <c r="A281" s="22">
        <v>34060</v>
      </c>
      <c r="B281" s="18">
        <v>1299</v>
      </c>
      <c r="C281" s="19">
        <v>1545</v>
      </c>
      <c r="D281" s="19">
        <v>1285</v>
      </c>
      <c r="E281" s="19">
        <v>1130</v>
      </c>
      <c r="F281" s="19">
        <v>1307</v>
      </c>
      <c r="G281" s="19">
        <v>1045</v>
      </c>
      <c r="H281" s="19">
        <v>1344</v>
      </c>
      <c r="I281" s="19">
        <v>1135</v>
      </c>
      <c r="J281" s="19">
        <v>1223</v>
      </c>
      <c r="K281" s="19">
        <v>1136</v>
      </c>
      <c r="L281" s="19">
        <v>1145</v>
      </c>
      <c r="M281" s="19"/>
      <c r="N281" s="19"/>
      <c r="O281" s="20"/>
    </row>
    <row r="282" spans="1:23" x14ac:dyDescent="0.2">
      <c r="A282" s="22">
        <v>34090</v>
      </c>
      <c r="B282" s="18">
        <v>1294</v>
      </c>
      <c r="C282" s="19">
        <v>1548</v>
      </c>
      <c r="D282" s="19">
        <v>1282</v>
      </c>
      <c r="E282" s="19">
        <v>1138</v>
      </c>
      <c r="F282" s="19">
        <v>1306</v>
      </c>
      <c r="G282" s="19">
        <v>1035</v>
      </c>
      <c r="H282" s="19">
        <v>1351</v>
      </c>
      <c r="I282" s="19">
        <v>1149</v>
      </c>
      <c r="J282" s="19">
        <v>1219</v>
      </c>
      <c r="K282" s="19">
        <v>1150</v>
      </c>
      <c r="L282" s="19">
        <v>1156</v>
      </c>
      <c r="M282" s="19"/>
      <c r="N282" s="19"/>
      <c r="O282" s="20"/>
      <c r="U282" s="1">
        <f>1350-1204</f>
        <v>146</v>
      </c>
    </row>
    <row r="283" spans="1:23" x14ac:dyDescent="0.2">
      <c r="A283" s="22">
        <v>34121</v>
      </c>
      <c r="B283" s="18">
        <v>1295</v>
      </c>
      <c r="C283" s="19">
        <v>1547</v>
      </c>
      <c r="D283" s="19">
        <v>1284</v>
      </c>
      <c r="E283" s="19">
        <v>1141</v>
      </c>
      <c r="F283" s="19">
        <v>1307</v>
      </c>
      <c r="G283" s="19">
        <v>1035</v>
      </c>
      <c r="H283" s="19">
        <v>1348</v>
      </c>
      <c r="I283" s="19">
        <v>1149</v>
      </c>
      <c r="J283" s="19">
        <v>1217</v>
      </c>
      <c r="K283" s="19">
        <v>1149</v>
      </c>
      <c r="L283" s="19">
        <v>1150</v>
      </c>
      <c r="M283" s="19"/>
      <c r="N283" s="19"/>
      <c r="O283" s="20"/>
      <c r="U283" s="1">
        <f>1350-120</f>
        <v>1230</v>
      </c>
    </row>
    <row r="284" spans="1:23" x14ac:dyDescent="0.2">
      <c r="A284" s="22">
        <v>34151</v>
      </c>
      <c r="B284" s="18">
        <v>1291</v>
      </c>
      <c r="C284" s="19">
        <v>1547</v>
      </c>
      <c r="D284" s="19">
        <v>1255</v>
      </c>
      <c r="E284" s="19">
        <v>1139</v>
      </c>
      <c r="F284" s="19">
        <v>1302</v>
      </c>
      <c r="G284" s="19">
        <v>1035</v>
      </c>
      <c r="H284" s="19">
        <v>1352</v>
      </c>
      <c r="I284" s="19">
        <v>1142</v>
      </c>
      <c r="J284" s="19">
        <v>1213</v>
      </c>
      <c r="K284" s="19">
        <v>1143</v>
      </c>
      <c r="L284" s="19">
        <v>1158</v>
      </c>
      <c r="M284" s="19"/>
      <c r="N284" s="19"/>
      <c r="O284" s="20"/>
    </row>
    <row r="285" spans="1:23" x14ac:dyDescent="0.2">
      <c r="A285" s="22">
        <v>34182</v>
      </c>
      <c r="B285" s="18">
        <v>1288</v>
      </c>
      <c r="C285" s="19">
        <v>1547</v>
      </c>
      <c r="D285" s="19">
        <v>1260</v>
      </c>
      <c r="E285" s="19">
        <v>1129</v>
      </c>
      <c r="F285" s="19">
        <v>1303</v>
      </c>
      <c r="G285" s="19">
        <v>1039</v>
      </c>
      <c r="H285" s="19">
        <v>1352</v>
      </c>
      <c r="I285" s="19">
        <v>1133</v>
      </c>
      <c r="J285" s="19">
        <v>1206</v>
      </c>
      <c r="K285" s="19">
        <v>1131</v>
      </c>
      <c r="L285" s="19">
        <v>1151</v>
      </c>
      <c r="M285" s="19"/>
      <c r="N285" s="19"/>
      <c r="O285" s="20"/>
    </row>
    <row r="286" spans="1:23" x14ac:dyDescent="0.2">
      <c r="A286" s="22">
        <v>34213</v>
      </c>
      <c r="B286" s="18">
        <v>1288</v>
      </c>
      <c r="C286" s="19"/>
      <c r="D286" s="19">
        <v>1249</v>
      </c>
      <c r="E286" s="19">
        <v>1120</v>
      </c>
      <c r="F286" s="19">
        <v>1303</v>
      </c>
      <c r="G286" s="19">
        <v>1054</v>
      </c>
      <c r="H286" s="19">
        <v>1353</v>
      </c>
      <c r="I286" s="19">
        <v>1123</v>
      </c>
      <c r="J286" s="19">
        <v>1202</v>
      </c>
      <c r="K286" s="19">
        <v>1125</v>
      </c>
      <c r="L286" s="19">
        <v>1146</v>
      </c>
      <c r="M286" s="19"/>
      <c r="N286" s="19"/>
      <c r="O286" s="20"/>
    </row>
    <row r="287" spans="1:23" x14ac:dyDescent="0.2">
      <c r="A287" s="22">
        <v>34243</v>
      </c>
      <c r="B287" s="18">
        <v>1299</v>
      </c>
      <c r="C287" s="19">
        <v>1543</v>
      </c>
      <c r="D287" s="19">
        <v>1282</v>
      </c>
      <c r="E287" s="19">
        <v>1124</v>
      </c>
      <c r="F287" s="19">
        <v>1309</v>
      </c>
      <c r="G287" s="19">
        <v>1050</v>
      </c>
      <c r="H287" s="19">
        <v>1354</v>
      </c>
      <c r="I287" s="19">
        <v>1138</v>
      </c>
      <c r="J287" s="19">
        <v>1207</v>
      </c>
      <c r="K287" s="19">
        <v>1127</v>
      </c>
      <c r="L287" s="19">
        <v>1147</v>
      </c>
      <c r="M287" s="19"/>
      <c r="N287" s="19"/>
      <c r="O287" s="20"/>
    </row>
    <row r="288" spans="1:23" x14ac:dyDescent="0.2">
      <c r="A288" s="22">
        <v>34274</v>
      </c>
      <c r="B288" s="18">
        <v>1298</v>
      </c>
      <c r="C288" s="19">
        <v>1541</v>
      </c>
      <c r="D288" s="19">
        <v>1286</v>
      </c>
      <c r="E288" s="19">
        <v>1126</v>
      </c>
      <c r="F288" s="19">
        <v>1310</v>
      </c>
      <c r="G288" s="19">
        <v>1044</v>
      </c>
      <c r="H288" s="19">
        <v>1357</v>
      </c>
      <c r="I288" s="19">
        <v>1134</v>
      </c>
      <c r="J288" s="19">
        <v>1214</v>
      </c>
      <c r="K288" s="19">
        <v>1134</v>
      </c>
      <c r="L288" s="19">
        <v>1149</v>
      </c>
      <c r="M288" s="19"/>
      <c r="N288" s="19"/>
      <c r="O288" s="20"/>
    </row>
    <row r="289" spans="1:17" x14ac:dyDescent="0.2">
      <c r="A289" s="22">
        <v>34304</v>
      </c>
      <c r="B289" s="18">
        <v>1296</v>
      </c>
      <c r="C289" s="19">
        <v>1541</v>
      </c>
      <c r="D289" s="19">
        <v>1290</v>
      </c>
      <c r="E289" s="19">
        <v>1128</v>
      </c>
      <c r="F289" s="19">
        <v>1314</v>
      </c>
      <c r="G289" s="19">
        <v>1040</v>
      </c>
      <c r="H289" s="19">
        <v>1355</v>
      </c>
      <c r="I289" s="19">
        <v>1136</v>
      </c>
      <c r="J289" s="19">
        <v>1217</v>
      </c>
      <c r="K289" s="19">
        <v>1135</v>
      </c>
      <c r="L289" s="19">
        <v>1148</v>
      </c>
      <c r="M289" s="19"/>
      <c r="N289" s="19"/>
      <c r="O289" s="20"/>
      <c r="P289" s="1"/>
      <c r="Q289" s="1"/>
    </row>
    <row r="290" spans="1:17" x14ac:dyDescent="0.2">
      <c r="A290" s="22">
        <v>34335</v>
      </c>
      <c r="B290" s="18">
        <v>1303</v>
      </c>
      <c r="C290" s="19">
        <v>1543</v>
      </c>
      <c r="D290" s="19">
        <v>1285</v>
      </c>
      <c r="E290" s="19">
        <v>1128</v>
      </c>
      <c r="F290" s="19">
        <v>1315</v>
      </c>
      <c r="G290" s="19">
        <v>1039</v>
      </c>
      <c r="H290" s="19">
        <v>1357</v>
      </c>
      <c r="I290" s="19">
        <v>1134</v>
      </c>
      <c r="J290" s="19">
        <v>1217</v>
      </c>
      <c r="K290" s="19">
        <v>1134</v>
      </c>
      <c r="L290" s="19">
        <v>1148</v>
      </c>
      <c r="M290" s="19"/>
      <c r="N290" s="19"/>
      <c r="O290" s="20"/>
      <c r="P290" s="1"/>
      <c r="Q290" s="1"/>
    </row>
    <row r="291" spans="1:17" x14ac:dyDescent="0.2">
      <c r="A291" s="22">
        <v>34366</v>
      </c>
      <c r="B291" s="18">
        <v>1308</v>
      </c>
      <c r="C291" s="19">
        <v>1544</v>
      </c>
      <c r="D291" s="19">
        <v>1295</v>
      </c>
      <c r="E291" s="19">
        <v>1137</v>
      </c>
      <c r="F291" s="19">
        <v>1318</v>
      </c>
      <c r="G291" s="19">
        <v>1037</v>
      </c>
      <c r="H291" s="19">
        <v>1361</v>
      </c>
      <c r="I291" s="19">
        <v>1140</v>
      </c>
      <c r="J291" s="19">
        <v>1226</v>
      </c>
      <c r="K291" s="19">
        <v>1141</v>
      </c>
      <c r="L291" s="19">
        <v>1150</v>
      </c>
      <c r="M291" s="19"/>
      <c r="N291" s="19"/>
      <c r="O291" s="20"/>
      <c r="P291" s="1"/>
      <c r="Q291" s="1"/>
    </row>
    <row r="292" spans="1:17" x14ac:dyDescent="0.2">
      <c r="A292" s="22">
        <v>34394</v>
      </c>
      <c r="B292" s="18">
        <v>1313</v>
      </c>
      <c r="C292" s="19">
        <v>1542</v>
      </c>
      <c r="D292" s="19">
        <v>1299</v>
      </c>
      <c r="E292" s="19">
        <v>1133</v>
      </c>
      <c r="F292" s="19">
        <v>1321</v>
      </c>
      <c r="G292" s="19">
        <v>1043</v>
      </c>
      <c r="H292" s="19">
        <v>1361</v>
      </c>
      <c r="I292" s="19">
        <v>1138</v>
      </c>
      <c r="J292" s="19">
        <v>1230</v>
      </c>
      <c r="K292" s="19">
        <v>1137</v>
      </c>
      <c r="L292" s="19">
        <v>1157</v>
      </c>
      <c r="M292" s="19"/>
      <c r="N292" s="19"/>
      <c r="O292" s="20"/>
      <c r="P292" s="1"/>
      <c r="Q292" s="1"/>
    </row>
    <row r="293" spans="1:17" x14ac:dyDescent="0.2">
      <c r="A293" s="22">
        <v>34425</v>
      </c>
      <c r="B293" s="18">
        <v>1310</v>
      </c>
      <c r="C293" s="19">
        <v>1541</v>
      </c>
      <c r="D293" s="19">
        <v>1298</v>
      </c>
      <c r="E293" s="19">
        <v>1143</v>
      </c>
      <c r="F293" s="19">
        <v>1323</v>
      </c>
      <c r="G293" s="19">
        <v>1043</v>
      </c>
      <c r="H293" s="19">
        <v>1360</v>
      </c>
      <c r="I293" s="19">
        <v>1146</v>
      </c>
      <c r="J293" s="19">
        <v>1233</v>
      </c>
      <c r="K293" s="19">
        <v>1148</v>
      </c>
      <c r="L293" s="19">
        <v>1160</v>
      </c>
      <c r="M293" s="19"/>
      <c r="N293" s="19"/>
      <c r="O293" s="20"/>
      <c r="P293" s="1"/>
      <c r="Q293" s="1"/>
    </row>
    <row r="294" spans="1:17" x14ac:dyDescent="0.2">
      <c r="A294" s="22">
        <v>34455</v>
      </c>
      <c r="B294" s="18">
        <v>1312</v>
      </c>
      <c r="C294" s="19">
        <v>1543</v>
      </c>
      <c r="D294" s="19">
        <v>1302</v>
      </c>
      <c r="E294" s="19">
        <v>1142</v>
      </c>
      <c r="F294" s="19">
        <v>1325</v>
      </c>
      <c r="G294" s="19">
        <v>1042</v>
      </c>
      <c r="H294" s="19">
        <v>1362</v>
      </c>
      <c r="I294" s="19">
        <v>1145</v>
      </c>
      <c r="J294" s="19">
        <v>1235</v>
      </c>
      <c r="K294" s="19">
        <v>1145</v>
      </c>
      <c r="L294" s="19">
        <v>1147</v>
      </c>
      <c r="M294" s="19"/>
      <c r="N294" s="19"/>
      <c r="O294" s="20"/>
      <c r="P294" s="1"/>
      <c r="Q294" s="1"/>
    </row>
    <row r="295" spans="1:17" x14ac:dyDescent="0.2">
      <c r="A295" s="22">
        <v>34486</v>
      </c>
      <c r="B295" s="18">
        <v>1310</v>
      </c>
      <c r="C295" s="19">
        <v>1539</v>
      </c>
      <c r="D295" s="19">
        <v>1301</v>
      </c>
      <c r="E295" s="19">
        <v>1121</v>
      </c>
      <c r="F295" s="19">
        <v>1321</v>
      </c>
      <c r="G295" s="19">
        <v>1040</v>
      </c>
      <c r="H295" s="19">
        <v>1363</v>
      </c>
      <c r="I295" s="19">
        <v>1137</v>
      </c>
      <c r="J295" s="19">
        <v>1234</v>
      </c>
      <c r="K295" s="19">
        <v>1136</v>
      </c>
      <c r="L295" s="19">
        <v>1154</v>
      </c>
      <c r="M295" s="19"/>
      <c r="N295" s="19"/>
      <c r="O295" s="20"/>
      <c r="P295" s="1"/>
      <c r="Q295" s="1"/>
    </row>
    <row r="296" spans="1:17" x14ac:dyDescent="0.2">
      <c r="A296" s="22">
        <v>34516</v>
      </c>
      <c r="B296" s="18">
        <v>1304</v>
      </c>
      <c r="C296" s="19">
        <v>1539</v>
      </c>
      <c r="D296" s="19">
        <v>1294</v>
      </c>
      <c r="E296" s="19">
        <v>1138</v>
      </c>
      <c r="F296" s="19">
        <v>1316</v>
      </c>
      <c r="G296" s="19">
        <v>1037</v>
      </c>
      <c r="H296" s="19">
        <v>1358</v>
      </c>
      <c r="I296" s="19">
        <v>1143</v>
      </c>
      <c r="J296" s="19">
        <v>1226</v>
      </c>
      <c r="K296" s="19">
        <v>1143</v>
      </c>
      <c r="L296" s="19">
        <v>1154</v>
      </c>
      <c r="M296" s="19"/>
      <c r="N296" s="19"/>
      <c r="O296" s="20"/>
      <c r="P296" s="1"/>
      <c r="Q296" s="1"/>
    </row>
    <row r="297" spans="1:17" x14ac:dyDescent="0.2">
      <c r="A297" s="22">
        <v>34547</v>
      </c>
      <c r="B297" s="18">
        <v>1293</v>
      </c>
      <c r="C297" s="19">
        <v>1541</v>
      </c>
      <c r="D297" s="19">
        <v>1292</v>
      </c>
      <c r="E297" s="19">
        <v>1129</v>
      </c>
      <c r="F297" s="19">
        <v>1309</v>
      </c>
      <c r="G297" s="19">
        <v>1037</v>
      </c>
      <c r="H297" s="19">
        <v>1357</v>
      </c>
      <c r="I297" s="19">
        <v>1133</v>
      </c>
      <c r="J297" s="19">
        <v>1226</v>
      </c>
      <c r="K297" s="19">
        <v>1133</v>
      </c>
      <c r="L297" s="19">
        <v>1150</v>
      </c>
      <c r="M297" s="19"/>
      <c r="N297" s="19"/>
      <c r="O297" s="20"/>
      <c r="P297" s="1"/>
      <c r="Q297" s="1"/>
    </row>
    <row r="298" spans="1:17" x14ac:dyDescent="0.2">
      <c r="A298" s="22">
        <v>34578</v>
      </c>
      <c r="B298" s="18">
        <v>1302</v>
      </c>
      <c r="C298" s="19">
        <v>1541</v>
      </c>
      <c r="D298" s="19">
        <v>1289</v>
      </c>
      <c r="E298" s="19">
        <v>1130</v>
      </c>
      <c r="F298" s="19">
        <v>1313</v>
      </c>
      <c r="G298" s="19">
        <v>1040</v>
      </c>
      <c r="H298" s="19">
        <v>1358</v>
      </c>
      <c r="I298" s="19">
        <v>1137</v>
      </c>
      <c r="J298" s="19">
        <v>1226</v>
      </c>
      <c r="K298" s="19">
        <v>1137</v>
      </c>
      <c r="L298" s="19">
        <v>1154</v>
      </c>
      <c r="M298" s="19"/>
      <c r="N298" s="19"/>
      <c r="O298" s="20"/>
      <c r="P298" s="1"/>
      <c r="Q298" s="1"/>
    </row>
    <row r="299" spans="1:17" x14ac:dyDescent="0.2">
      <c r="A299" s="22">
        <v>34608</v>
      </c>
      <c r="B299" s="18">
        <v>1304</v>
      </c>
      <c r="C299" s="19">
        <v>1539</v>
      </c>
      <c r="D299" s="19">
        <v>1295</v>
      </c>
      <c r="E299" s="19">
        <v>1147</v>
      </c>
      <c r="F299" s="19">
        <v>1317</v>
      </c>
      <c r="G299" s="19">
        <v>1037</v>
      </c>
      <c r="H299" s="19">
        <v>1356</v>
      </c>
      <c r="I299" s="19">
        <v>1150</v>
      </c>
      <c r="J299" s="19">
        <v>1228</v>
      </c>
      <c r="K299" s="19">
        <v>1149</v>
      </c>
      <c r="L299" s="19">
        <v>1151</v>
      </c>
      <c r="M299" s="19"/>
      <c r="N299" s="19"/>
      <c r="O299" s="20"/>
      <c r="P299" s="1"/>
      <c r="Q299" s="1"/>
    </row>
    <row r="300" spans="1:17" x14ac:dyDescent="0.2">
      <c r="A300" s="22">
        <v>34639</v>
      </c>
      <c r="B300" s="18">
        <v>1302</v>
      </c>
      <c r="C300" s="19">
        <v>1539</v>
      </c>
      <c r="D300" s="19">
        <v>1295</v>
      </c>
      <c r="E300" s="19">
        <v>1143</v>
      </c>
      <c r="F300" s="19">
        <v>1317</v>
      </c>
      <c r="G300" s="19">
        <v>1038</v>
      </c>
      <c r="H300" s="19">
        <v>1356</v>
      </c>
      <c r="I300" s="19">
        <v>1148</v>
      </c>
      <c r="J300" s="19">
        <v>1229</v>
      </c>
      <c r="K300" s="19">
        <v>1147</v>
      </c>
      <c r="L300" s="19">
        <v>1159</v>
      </c>
      <c r="M300" s="19"/>
      <c r="N300" s="19"/>
      <c r="O300" s="20"/>
      <c r="P300" s="1"/>
      <c r="Q300" s="1"/>
    </row>
    <row r="301" spans="1:17" x14ac:dyDescent="0.2">
      <c r="A301" s="22">
        <v>34669</v>
      </c>
      <c r="B301" s="18">
        <v>1312</v>
      </c>
      <c r="C301" s="19">
        <v>1539</v>
      </c>
      <c r="D301" s="19">
        <v>1301</v>
      </c>
      <c r="E301" s="19"/>
      <c r="F301" s="19">
        <v>1321</v>
      </c>
      <c r="G301" s="19"/>
      <c r="H301" s="19">
        <v>1348</v>
      </c>
      <c r="I301" s="19">
        <v>1148</v>
      </c>
      <c r="J301" s="19"/>
      <c r="K301" s="19"/>
      <c r="L301" s="19"/>
      <c r="M301" s="19"/>
      <c r="N301" s="19"/>
      <c r="O301" s="20"/>
      <c r="P301" s="1"/>
      <c r="Q301" s="1"/>
    </row>
    <row r="302" spans="1:17" x14ac:dyDescent="0.2">
      <c r="A302" s="22">
        <v>34700</v>
      </c>
      <c r="B302" s="18">
        <v>1315</v>
      </c>
      <c r="C302" s="19">
        <v>1537</v>
      </c>
      <c r="D302" s="19">
        <v>1308</v>
      </c>
      <c r="E302" s="19"/>
      <c r="F302" s="19">
        <v>1321</v>
      </c>
      <c r="G302" s="19"/>
      <c r="H302" s="19">
        <v>1350</v>
      </c>
      <c r="I302" s="19"/>
      <c r="J302" s="19">
        <v>1239</v>
      </c>
      <c r="K302" s="19"/>
      <c r="L302" s="19"/>
      <c r="M302" s="19"/>
      <c r="N302" s="19"/>
      <c r="O302" s="20"/>
      <c r="P302" s="1"/>
      <c r="Q302" s="1"/>
    </row>
    <row r="303" spans="1:17" x14ac:dyDescent="0.2">
      <c r="A303" s="22">
        <v>34731</v>
      </c>
      <c r="B303" s="18">
        <v>1318</v>
      </c>
      <c r="C303" s="19">
        <v>1534</v>
      </c>
      <c r="D303" s="19">
        <v>1311</v>
      </c>
      <c r="E303" s="19"/>
      <c r="F303" s="19">
        <v>1325</v>
      </c>
      <c r="G303" s="19"/>
      <c r="H303" s="19">
        <v>1346</v>
      </c>
      <c r="I303" s="19"/>
      <c r="J303" s="19">
        <v>1246</v>
      </c>
      <c r="K303" s="19"/>
      <c r="L303" s="19"/>
      <c r="M303" s="19"/>
      <c r="N303" s="19"/>
      <c r="O303" s="20"/>
      <c r="P303" s="1"/>
      <c r="Q303" s="1"/>
    </row>
    <row r="304" spans="1:17" x14ac:dyDescent="0.2">
      <c r="A304" s="22">
        <v>34759</v>
      </c>
      <c r="B304" s="18"/>
      <c r="C304" s="19">
        <v>1543</v>
      </c>
      <c r="D304" s="19">
        <v>1306</v>
      </c>
      <c r="E304" s="19"/>
      <c r="F304" s="19">
        <v>1320</v>
      </c>
      <c r="G304" s="19">
        <v>1038</v>
      </c>
      <c r="H304" s="19">
        <v>1350</v>
      </c>
      <c r="I304" s="19">
        <v>1136</v>
      </c>
      <c r="J304" s="19"/>
      <c r="K304" s="19">
        <v>1138</v>
      </c>
      <c r="L304" s="19">
        <v>1150</v>
      </c>
      <c r="M304" s="19"/>
      <c r="N304" s="19"/>
      <c r="O304" s="20"/>
      <c r="P304" s="1"/>
      <c r="Q304" s="1"/>
    </row>
    <row r="305" spans="1:17" x14ac:dyDescent="0.2">
      <c r="A305" s="22">
        <v>34790</v>
      </c>
      <c r="B305" s="18"/>
      <c r="C305" s="19">
        <v>1541</v>
      </c>
      <c r="D305" s="19"/>
      <c r="E305" s="19"/>
      <c r="F305" s="19"/>
      <c r="G305" s="19"/>
      <c r="H305" s="19"/>
      <c r="I305" s="19"/>
      <c r="J305" s="19"/>
      <c r="K305" s="19"/>
      <c r="L305" s="19"/>
      <c r="M305" s="19"/>
      <c r="N305" s="19"/>
      <c r="O305" s="20"/>
    </row>
    <row r="306" spans="1:17" x14ac:dyDescent="0.2">
      <c r="A306" s="22">
        <v>34820</v>
      </c>
      <c r="B306" s="18"/>
      <c r="C306" s="19">
        <v>1541</v>
      </c>
      <c r="D306" s="19">
        <v>1304</v>
      </c>
      <c r="E306" s="19"/>
      <c r="F306" s="19"/>
      <c r="G306" s="19"/>
      <c r="H306" s="19">
        <v>1349</v>
      </c>
      <c r="I306" s="19"/>
      <c r="J306" s="19">
        <v>1259</v>
      </c>
      <c r="K306" s="19"/>
      <c r="L306" s="19"/>
      <c r="M306" s="19"/>
      <c r="N306" s="19"/>
      <c r="O306" s="20"/>
    </row>
    <row r="307" spans="1:17" x14ac:dyDescent="0.2">
      <c r="A307" s="22">
        <v>34851</v>
      </c>
      <c r="B307" s="18"/>
      <c r="C307" s="19">
        <v>1541</v>
      </c>
      <c r="D307" s="19">
        <v>1303</v>
      </c>
      <c r="E307" s="19">
        <v>1151</v>
      </c>
      <c r="F307" s="19"/>
      <c r="G307" s="19"/>
      <c r="H307" s="19"/>
      <c r="I307" s="19"/>
      <c r="J307" s="19"/>
      <c r="K307" s="19"/>
      <c r="L307" s="19"/>
      <c r="M307" s="19"/>
      <c r="N307" s="19"/>
      <c r="O307" s="20"/>
    </row>
    <row r="308" spans="1:17" x14ac:dyDescent="0.2">
      <c r="A308" s="22">
        <v>34881</v>
      </c>
      <c r="B308" s="18"/>
      <c r="C308" s="19">
        <v>1543</v>
      </c>
      <c r="D308" s="19"/>
      <c r="E308" s="19"/>
      <c r="F308" s="19"/>
      <c r="G308" s="19"/>
      <c r="H308" s="19"/>
      <c r="I308" s="19"/>
      <c r="J308" s="19"/>
      <c r="K308" s="19"/>
      <c r="L308" s="19"/>
      <c r="M308" s="19"/>
      <c r="N308" s="19"/>
      <c r="O308" s="20"/>
    </row>
    <row r="309" spans="1:17" x14ac:dyDescent="0.2">
      <c r="A309" s="22">
        <v>34912</v>
      </c>
      <c r="B309" s="18"/>
      <c r="C309" s="19">
        <v>1543</v>
      </c>
      <c r="D309" s="19"/>
      <c r="E309" s="19"/>
      <c r="F309" s="19"/>
      <c r="G309" s="19"/>
      <c r="H309" s="19"/>
      <c r="I309" s="19"/>
      <c r="J309" s="19"/>
      <c r="K309" s="19"/>
      <c r="L309" s="19"/>
      <c r="M309" s="19"/>
      <c r="N309" s="19"/>
      <c r="O309" s="20"/>
    </row>
    <row r="310" spans="1:17" x14ac:dyDescent="0.2">
      <c r="A310" s="22">
        <v>34943</v>
      </c>
      <c r="B310" s="18"/>
      <c r="C310" s="19">
        <v>1543</v>
      </c>
      <c r="D310" s="19">
        <v>1290</v>
      </c>
      <c r="E310" s="19">
        <v>1150</v>
      </c>
      <c r="F310" s="19">
        <v>1308</v>
      </c>
      <c r="G310" s="19">
        <v>1048</v>
      </c>
      <c r="H310" s="19">
        <v>1359</v>
      </c>
      <c r="I310" s="19">
        <v>1158</v>
      </c>
      <c r="J310" s="19">
        <v>1253</v>
      </c>
      <c r="K310" s="19">
        <v>1155</v>
      </c>
      <c r="L310" s="19">
        <v>1160</v>
      </c>
      <c r="M310" s="19"/>
      <c r="N310" s="19"/>
      <c r="O310" s="20"/>
    </row>
    <row r="311" spans="1:17" x14ac:dyDescent="0.2">
      <c r="A311" s="22">
        <v>34973</v>
      </c>
      <c r="B311" s="18"/>
      <c r="C311" s="19">
        <v>1542</v>
      </c>
      <c r="D311" s="19">
        <v>1273</v>
      </c>
      <c r="E311" s="19"/>
      <c r="F311" s="19"/>
      <c r="G311" s="19"/>
      <c r="H311" s="19">
        <v>1360</v>
      </c>
      <c r="I311" s="19"/>
      <c r="J311" s="19">
        <v>1250</v>
      </c>
      <c r="K311" s="19"/>
      <c r="L311" s="19"/>
      <c r="M311" s="19"/>
      <c r="N311" s="19"/>
      <c r="O311" s="20"/>
    </row>
    <row r="312" spans="1:17" x14ac:dyDescent="0.2">
      <c r="A312" s="22">
        <v>35004</v>
      </c>
      <c r="B312" s="18"/>
      <c r="C312" s="19">
        <v>1542</v>
      </c>
      <c r="D312" s="19">
        <v>1287</v>
      </c>
      <c r="E312" s="19"/>
      <c r="F312" s="19">
        <v>1300</v>
      </c>
      <c r="G312" s="19">
        <v>1048</v>
      </c>
      <c r="H312" s="19"/>
      <c r="I312" s="19">
        <v>1143</v>
      </c>
      <c r="J312" s="19"/>
      <c r="K312" s="19"/>
      <c r="L312" s="19">
        <v>1150</v>
      </c>
      <c r="M312" s="19"/>
      <c r="N312" s="19"/>
      <c r="O312" s="20"/>
    </row>
    <row r="313" spans="1:17" x14ac:dyDescent="0.2">
      <c r="A313" s="22">
        <v>35034</v>
      </c>
      <c r="B313" s="18">
        <v>1298</v>
      </c>
      <c r="C313" s="19">
        <v>1542</v>
      </c>
      <c r="D313" s="19"/>
      <c r="E313" s="19">
        <v>1127</v>
      </c>
      <c r="F313" s="19">
        <v>1302</v>
      </c>
      <c r="G313" s="19"/>
      <c r="H313" s="19">
        <v>1356</v>
      </c>
      <c r="I313" s="19">
        <v>1142</v>
      </c>
      <c r="J313" s="19">
        <v>1247</v>
      </c>
      <c r="K313" s="19">
        <v>1142</v>
      </c>
      <c r="L313" s="19">
        <v>1148</v>
      </c>
      <c r="M313" s="19"/>
      <c r="N313" s="19"/>
      <c r="O313" s="20"/>
    </row>
    <row r="314" spans="1:17" s="29" customFormat="1" x14ac:dyDescent="0.2">
      <c r="A314" s="23">
        <v>35065</v>
      </c>
      <c r="B314" s="24">
        <v>1299</v>
      </c>
      <c r="C314" s="25">
        <v>1542</v>
      </c>
      <c r="D314" s="25">
        <v>1288</v>
      </c>
      <c r="E314" s="25">
        <v>1128</v>
      </c>
      <c r="F314" s="25">
        <v>1306</v>
      </c>
      <c r="G314" s="25">
        <v>1048</v>
      </c>
      <c r="H314" s="25">
        <v>1355</v>
      </c>
      <c r="I314" s="25">
        <v>1143</v>
      </c>
      <c r="J314" s="25">
        <v>1247</v>
      </c>
      <c r="K314" s="25">
        <v>1143</v>
      </c>
      <c r="L314" s="25">
        <v>1147</v>
      </c>
      <c r="M314" s="25"/>
      <c r="N314" s="25"/>
      <c r="O314" s="26"/>
      <c r="P314" s="27">
        <v>12</v>
      </c>
      <c r="Q314" s="28"/>
    </row>
    <row r="315" spans="1:17" x14ac:dyDescent="0.2">
      <c r="A315" s="22">
        <v>35096</v>
      </c>
      <c r="B315" s="18">
        <v>1300</v>
      </c>
      <c r="C315" s="19">
        <v>1542</v>
      </c>
      <c r="D315" s="19">
        <v>1289</v>
      </c>
      <c r="E315" s="19">
        <v>1130</v>
      </c>
      <c r="F315" s="19">
        <v>1307</v>
      </c>
      <c r="G315" s="19">
        <v>1056</v>
      </c>
      <c r="H315" s="19">
        <v>1355</v>
      </c>
      <c r="I315" s="19">
        <v>1136</v>
      </c>
      <c r="J315" s="19">
        <v>1247</v>
      </c>
      <c r="K315" s="19">
        <v>1136</v>
      </c>
      <c r="L315" s="19">
        <v>1147</v>
      </c>
      <c r="M315" s="19"/>
      <c r="N315" s="19"/>
      <c r="O315" s="20"/>
    </row>
    <row r="316" spans="1:17" x14ac:dyDescent="0.2">
      <c r="A316" s="22">
        <v>35125</v>
      </c>
      <c r="B316" s="18">
        <v>1300</v>
      </c>
      <c r="C316" s="19">
        <v>1542</v>
      </c>
      <c r="D316" s="19">
        <v>1291</v>
      </c>
      <c r="E316" s="19">
        <v>1135</v>
      </c>
      <c r="F316" s="19">
        <v>1308</v>
      </c>
      <c r="G316" s="19">
        <v>1056</v>
      </c>
      <c r="H316" s="19">
        <v>1360</v>
      </c>
      <c r="I316" s="19">
        <v>1148</v>
      </c>
      <c r="J316" s="19">
        <v>1247</v>
      </c>
      <c r="K316" s="19">
        <v>1137</v>
      </c>
      <c r="L316" s="19">
        <v>1148</v>
      </c>
      <c r="M316" s="19"/>
      <c r="N316" s="19"/>
      <c r="O316" s="20"/>
    </row>
    <row r="317" spans="1:17" x14ac:dyDescent="0.2">
      <c r="A317" s="22">
        <v>35156</v>
      </c>
      <c r="B317" s="18">
        <v>1298</v>
      </c>
      <c r="C317" s="19">
        <v>1540</v>
      </c>
      <c r="D317" s="19">
        <v>1285</v>
      </c>
      <c r="E317" s="19">
        <v>1141</v>
      </c>
      <c r="F317" s="19">
        <v>1309</v>
      </c>
      <c r="G317" s="19">
        <v>1057</v>
      </c>
      <c r="H317" s="19">
        <v>1362</v>
      </c>
      <c r="I317" s="19">
        <v>1145</v>
      </c>
      <c r="J317" s="19">
        <v>1247</v>
      </c>
      <c r="K317" s="19">
        <v>1145</v>
      </c>
      <c r="L317" s="19">
        <v>1149</v>
      </c>
      <c r="M317" s="19"/>
      <c r="N317" s="19"/>
      <c r="O317" s="20"/>
    </row>
    <row r="318" spans="1:17" x14ac:dyDescent="0.2">
      <c r="A318" s="22">
        <v>35186</v>
      </c>
      <c r="B318" s="18">
        <v>1294</v>
      </c>
      <c r="C318" s="19">
        <v>1537</v>
      </c>
      <c r="D318" s="19">
        <v>1283</v>
      </c>
      <c r="E318" s="19">
        <v>1137</v>
      </c>
      <c r="F318" s="19">
        <v>1305</v>
      </c>
      <c r="G318" s="19">
        <v>1056</v>
      </c>
      <c r="H318" s="19">
        <v>1354</v>
      </c>
      <c r="I318" s="19">
        <v>1145</v>
      </c>
      <c r="J318" s="19">
        <v>1246</v>
      </c>
      <c r="K318" s="19">
        <v>1145</v>
      </c>
      <c r="L318" s="19">
        <v>1151</v>
      </c>
      <c r="M318" s="19"/>
      <c r="N318" s="19"/>
      <c r="O318" s="20"/>
    </row>
    <row r="319" spans="1:17" x14ac:dyDescent="0.2">
      <c r="A319" s="22">
        <v>35217</v>
      </c>
      <c r="B319" s="18">
        <v>1293</v>
      </c>
      <c r="C319" s="19">
        <v>1535</v>
      </c>
      <c r="D319" s="19">
        <v>1282</v>
      </c>
      <c r="E319" s="19">
        <v>1137</v>
      </c>
      <c r="F319" s="19">
        <v>1304</v>
      </c>
      <c r="G319" s="19">
        <v>1055</v>
      </c>
      <c r="H319" s="19">
        <v>1351</v>
      </c>
      <c r="I319" s="19">
        <v>1152</v>
      </c>
      <c r="J319" s="19">
        <v>1243</v>
      </c>
      <c r="K319" s="19">
        <v>1145</v>
      </c>
      <c r="L319" s="19">
        <v>1154</v>
      </c>
      <c r="M319" s="19"/>
      <c r="N319" s="19"/>
      <c r="O319" s="20"/>
    </row>
    <row r="320" spans="1:17" x14ac:dyDescent="0.2">
      <c r="A320" s="22">
        <v>35247</v>
      </c>
      <c r="B320" s="18">
        <v>1293</v>
      </c>
      <c r="C320" s="19">
        <v>1534</v>
      </c>
      <c r="D320" s="19">
        <v>1283</v>
      </c>
      <c r="E320" s="19">
        <v>1137</v>
      </c>
      <c r="F320" s="19">
        <v>1300</v>
      </c>
      <c r="G320" s="19">
        <v>1053</v>
      </c>
      <c r="H320" s="19">
        <v>1351</v>
      </c>
      <c r="I320" s="19">
        <v>1162</v>
      </c>
      <c r="J320" s="19">
        <v>1242</v>
      </c>
      <c r="K320" s="19">
        <v>1148</v>
      </c>
      <c r="L320" s="19">
        <v>1154</v>
      </c>
      <c r="M320" s="19"/>
      <c r="N320" s="19"/>
      <c r="O320" s="20"/>
    </row>
    <row r="321" spans="1:17" x14ac:dyDescent="0.2">
      <c r="A321" s="22">
        <v>35278</v>
      </c>
      <c r="B321" s="18">
        <v>1293</v>
      </c>
      <c r="C321" s="19">
        <v>1534</v>
      </c>
      <c r="D321" s="19">
        <v>1280</v>
      </c>
      <c r="E321" s="19">
        <v>1136</v>
      </c>
      <c r="F321" s="19">
        <v>1297</v>
      </c>
      <c r="G321" s="19">
        <v>1052</v>
      </c>
      <c r="H321" s="19">
        <v>1350</v>
      </c>
      <c r="I321" s="19">
        <v>1157</v>
      </c>
      <c r="J321" s="19">
        <v>1243</v>
      </c>
      <c r="K321" s="19">
        <v>1153</v>
      </c>
      <c r="L321" s="19">
        <v>1154</v>
      </c>
      <c r="M321" s="19"/>
      <c r="N321" s="19"/>
      <c r="O321" s="20"/>
      <c r="P321" s="1"/>
      <c r="Q321" s="1"/>
    </row>
    <row r="322" spans="1:17" x14ac:dyDescent="0.2">
      <c r="A322" s="22">
        <v>35309</v>
      </c>
      <c r="B322" s="18">
        <v>1288</v>
      </c>
      <c r="C322" s="19">
        <v>1535</v>
      </c>
      <c r="D322" s="19">
        <v>1280</v>
      </c>
      <c r="E322" s="19">
        <v>1137</v>
      </c>
      <c r="F322" s="19">
        <v>1297</v>
      </c>
      <c r="G322" s="19">
        <v>1052</v>
      </c>
      <c r="H322" s="19">
        <v>1350</v>
      </c>
      <c r="I322" s="19">
        <v>1157</v>
      </c>
      <c r="J322" s="19">
        <v>1243</v>
      </c>
      <c r="K322" s="19">
        <v>1151</v>
      </c>
      <c r="L322" s="19">
        <v>1149</v>
      </c>
      <c r="M322" s="19"/>
      <c r="N322" s="19"/>
      <c r="O322" s="20"/>
      <c r="P322" s="1"/>
      <c r="Q322" s="1"/>
    </row>
    <row r="323" spans="1:17" x14ac:dyDescent="0.2">
      <c r="A323" s="22">
        <v>35339</v>
      </c>
      <c r="B323" s="18">
        <v>1302</v>
      </c>
      <c r="C323" s="19">
        <v>1535</v>
      </c>
      <c r="D323" s="19">
        <v>1286</v>
      </c>
      <c r="E323" s="19">
        <v>1127</v>
      </c>
      <c r="F323" s="19">
        <v>1300</v>
      </c>
      <c r="G323" s="19">
        <v>1053</v>
      </c>
      <c r="H323" s="19">
        <v>1335</v>
      </c>
      <c r="I323" s="19">
        <v>1155</v>
      </c>
      <c r="J323" s="19">
        <v>1242</v>
      </c>
      <c r="K323" s="19">
        <v>1145</v>
      </c>
      <c r="L323" s="19">
        <v>1154</v>
      </c>
      <c r="M323" s="19"/>
      <c r="N323" s="19"/>
      <c r="O323" s="20"/>
      <c r="P323" s="1"/>
      <c r="Q323" s="1"/>
    </row>
    <row r="324" spans="1:17" x14ac:dyDescent="0.2">
      <c r="A324" s="22">
        <v>35370</v>
      </c>
      <c r="B324" s="18">
        <v>1303</v>
      </c>
      <c r="C324" s="19">
        <v>1535</v>
      </c>
      <c r="D324" s="19">
        <v>1281</v>
      </c>
      <c r="E324" s="19">
        <v>1124</v>
      </c>
      <c r="F324" s="19">
        <v>1301</v>
      </c>
      <c r="G324" s="19">
        <v>1043</v>
      </c>
      <c r="H324" s="19">
        <v>1338</v>
      </c>
      <c r="I324" s="19">
        <v>1155</v>
      </c>
      <c r="J324" s="19">
        <v>1237</v>
      </c>
      <c r="K324" s="19">
        <v>1138</v>
      </c>
      <c r="L324" s="19">
        <v>1154</v>
      </c>
      <c r="M324" s="19"/>
      <c r="N324" s="19"/>
      <c r="O324" s="20"/>
      <c r="P324" s="1"/>
      <c r="Q324" s="1"/>
    </row>
    <row r="325" spans="1:17" x14ac:dyDescent="0.2">
      <c r="A325" s="22">
        <v>35400</v>
      </c>
      <c r="B325" s="18">
        <v>1302</v>
      </c>
      <c r="C325" s="19">
        <v>1535</v>
      </c>
      <c r="D325" s="19">
        <v>1276</v>
      </c>
      <c r="E325" s="19">
        <v>1122</v>
      </c>
      <c r="F325" s="19">
        <v>1302</v>
      </c>
      <c r="G325" s="19">
        <v>1043</v>
      </c>
      <c r="H325" s="19">
        <v>1336</v>
      </c>
      <c r="I325" s="19">
        <v>1153</v>
      </c>
      <c r="J325" s="19">
        <v>1237</v>
      </c>
      <c r="K325" s="19">
        <v>1147</v>
      </c>
      <c r="L325" s="19">
        <v>1144</v>
      </c>
      <c r="M325" s="19"/>
      <c r="N325" s="19"/>
      <c r="O325" s="20"/>
      <c r="P325" s="1"/>
      <c r="Q325" s="1"/>
    </row>
    <row r="326" spans="1:17" x14ac:dyDescent="0.2">
      <c r="A326" s="22">
        <v>35431</v>
      </c>
      <c r="B326" s="18">
        <v>1302</v>
      </c>
      <c r="C326" s="19">
        <v>1537</v>
      </c>
      <c r="D326" s="19">
        <v>1277</v>
      </c>
      <c r="E326" s="19">
        <v>1123</v>
      </c>
      <c r="F326" s="19">
        <v>1305</v>
      </c>
      <c r="G326" s="19">
        <v>1044</v>
      </c>
      <c r="H326" s="19">
        <v>1335</v>
      </c>
      <c r="I326" s="19">
        <v>1154</v>
      </c>
      <c r="J326" s="19">
        <v>1246</v>
      </c>
      <c r="K326" s="19">
        <v>1145</v>
      </c>
      <c r="L326" s="19">
        <v>1153</v>
      </c>
      <c r="M326" s="19"/>
      <c r="N326" s="19"/>
      <c r="O326" s="20"/>
      <c r="P326" s="1"/>
      <c r="Q326" s="1"/>
    </row>
    <row r="327" spans="1:17" x14ac:dyDescent="0.2">
      <c r="A327" s="22">
        <v>35462</v>
      </c>
      <c r="B327" s="18">
        <v>1311</v>
      </c>
      <c r="C327" s="19">
        <v>1539</v>
      </c>
      <c r="D327" s="19">
        <v>1282</v>
      </c>
      <c r="E327" s="19">
        <v>1139</v>
      </c>
      <c r="F327" s="19">
        <v>1304</v>
      </c>
      <c r="G327" s="19">
        <v>1061</v>
      </c>
      <c r="H327" s="19">
        <v>1337</v>
      </c>
      <c r="I327" s="19">
        <v>1162</v>
      </c>
      <c r="J327" s="19">
        <v>1248</v>
      </c>
      <c r="K327" s="19">
        <v>1146</v>
      </c>
      <c r="L327" s="19">
        <v>1143</v>
      </c>
      <c r="M327" s="19"/>
      <c r="N327" s="19"/>
      <c r="O327" s="20"/>
      <c r="P327" s="1"/>
      <c r="Q327" s="1"/>
    </row>
    <row r="328" spans="1:17" x14ac:dyDescent="0.2">
      <c r="A328" s="22">
        <v>35490</v>
      </c>
      <c r="B328" s="18">
        <v>1302</v>
      </c>
      <c r="C328" s="19">
        <v>1539</v>
      </c>
      <c r="D328" s="19">
        <v>1277</v>
      </c>
      <c r="E328" s="19">
        <v>1128</v>
      </c>
      <c r="F328" s="19">
        <v>1303</v>
      </c>
      <c r="G328" s="19">
        <v>1061</v>
      </c>
      <c r="H328" s="19">
        <v>1339</v>
      </c>
      <c r="I328" s="19">
        <v>1162</v>
      </c>
      <c r="J328" s="19">
        <v>1247</v>
      </c>
      <c r="K328" s="19">
        <v>1147</v>
      </c>
      <c r="L328" s="19">
        <v>1159</v>
      </c>
      <c r="M328" s="19"/>
      <c r="N328" s="19"/>
      <c r="O328" s="20"/>
      <c r="P328" s="1"/>
      <c r="Q328" s="1"/>
    </row>
    <row r="329" spans="1:17" x14ac:dyDescent="0.2">
      <c r="A329" s="22">
        <v>35521</v>
      </c>
      <c r="B329" s="18">
        <v>1302</v>
      </c>
      <c r="C329" s="19">
        <v>1537</v>
      </c>
      <c r="D329" s="19">
        <v>1285</v>
      </c>
      <c r="E329" s="19">
        <v>1127</v>
      </c>
      <c r="F329" s="19">
        <v>1300</v>
      </c>
      <c r="G329" s="19">
        <v>1058</v>
      </c>
      <c r="H329" s="19">
        <v>1337</v>
      </c>
      <c r="I329" s="19">
        <v>1153</v>
      </c>
      <c r="J329" s="19">
        <v>1245</v>
      </c>
      <c r="K329" s="19">
        <v>1149</v>
      </c>
      <c r="L329" s="19">
        <v>1157</v>
      </c>
      <c r="M329" s="19"/>
      <c r="N329" s="19"/>
      <c r="O329" s="20"/>
      <c r="P329" s="1"/>
      <c r="Q329" s="1"/>
    </row>
    <row r="330" spans="1:17" x14ac:dyDescent="0.2">
      <c r="A330" s="22">
        <v>35551</v>
      </c>
      <c r="B330" s="18">
        <v>1294</v>
      </c>
      <c r="C330" s="19">
        <v>1537</v>
      </c>
      <c r="D330" s="19">
        <v>1276</v>
      </c>
      <c r="E330" s="19">
        <v>1127</v>
      </c>
      <c r="F330" s="19">
        <v>1297</v>
      </c>
      <c r="G330" s="19">
        <v>1057</v>
      </c>
      <c r="H330" s="19">
        <v>1335</v>
      </c>
      <c r="I330" s="19">
        <v>1154</v>
      </c>
      <c r="J330" s="19">
        <v>1241</v>
      </c>
      <c r="K330" s="19">
        <v>1148</v>
      </c>
      <c r="L330" s="19">
        <v>1152</v>
      </c>
      <c r="M330" s="19"/>
      <c r="N330" s="19"/>
      <c r="O330" s="20"/>
      <c r="P330" s="1"/>
      <c r="Q330" s="1"/>
    </row>
    <row r="331" spans="1:17" x14ac:dyDescent="0.2">
      <c r="A331" s="22">
        <v>35582</v>
      </c>
      <c r="B331" s="18">
        <v>1293</v>
      </c>
      <c r="C331" s="19">
        <v>1538</v>
      </c>
      <c r="D331" s="19">
        <v>1277</v>
      </c>
      <c r="E331" s="19">
        <v>1122</v>
      </c>
      <c r="F331" s="19">
        <v>1299</v>
      </c>
      <c r="G331" s="19">
        <v>1056</v>
      </c>
      <c r="H331" s="19">
        <v>1334</v>
      </c>
      <c r="I331" s="19">
        <v>1145</v>
      </c>
      <c r="J331" s="19">
        <v>1238</v>
      </c>
      <c r="K331" s="19">
        <v>1145</v>
      </c>
      <c r="L331" s="19">
        <v>1153</v>
      </c>
      <c r="M331" s="19"/>
      <c r="N331" s="19"/>
      <c r="O331" s="20"/>
      <c r="P331" s="1"/>
      <c r="Q331" s="1"/>
    </row>
    <row r="332" spans="1:17" x14ac:dyDescent="0.2">
      <c r="A332" s="22">
        <v>35612</v>
      </c>
      <c r="B332" s="18">
        <v>1294</v>
      </c>
      <c r="C332" s="19">
        <v>1538</v>
      </c>
      <c r="D332" s="19">
        <v>1279</v>
      </c>
      <c r="E332" s="19">
        <v>1127</v>
      </c>
      <c r="F332" s="19">
        <v>1297</v>
      </c>
      <c r="G332" s="19">
        <v>1058</v>
      </c>
      <c r="H332" s="19">
        <v>1334</v>
      </c>
      <c r="I332" s="19">
        <v>1152</v>
      </c>
      <c r="J332" s="19">
        <v>1234</v>
      </c>
      <c r="K332" s="19">
        <v>1148</v>
      </c>
      <c r="L332" s="19">
        <v>1153</v>
      </c>
      <c r="M332" s="19"/>
      <c r="N332" s="19"/>
      <c r="O332" s="20"/>
      <c r="P332" s="1"/>
      <c r="Q332" s="1"/>
    </row>
    <row r="333" spans="1:17" x14ac:dyDescent="0.2">
      <c r="A333" s="22">
        <v>35643</v>
      </c>
      <c r="B333" s="18">
        <v>1293</v>
      </c>
      <c r="C333" s="19">
        <v>1537</v>
      </c>
      <c r="D333" s="19">
        <v>1279</v>
      </c>
      <c r="E333" s="19">
        <v>1122</v>
      </c>
      <c r="F333" s="19">
        <v>1279</v>
      </c>
      <c r="G333" s="19">
        <v>1056</v>
      </c>
      <c r="H333" s="19">
        <v>1332</v>
      </c>
      <c r="I333" s="19">
        <v>1150</v>
      </c>
      <c r="J333" s="19">
        <v>1232</v>
      </c>
      <c r="K333" s="19">
        <v>1149</v>
      </c>
      <c r="L333" s="19">
        <v>1150</v>
      </c>
      <c r="M333" s="19"/>
      <c r="N333" s="19"/>
      <c r="O333" s="20"/>
      <c r="P333" s="1"/>
      <c r="Q333" s="1"/>
    </row>
    <row r="334" spans="1:17" x14ac:dyDescent="0.2">
      <c r="A334" s="22">
        <v>35674</v>
      </c>
      <c r="B334" s="18">
        <v>1278</v>
      </c>
      <c r="C334" s="19">
        <v>1537</v>
      </c>
      <c r="D334" s="19">
        <v>1282</v>
      </c>
      <c r="E334" s="19">
        <v>1127</v>
      </c>
      <c r="F334" s="19">
        <v>1285</v>
      </c>
      <c r="G334" s="19">
        <v>1052</v>
      </c>
      <c r="H334" s="19">
        <v>1338</v>
      </c>
      <c r="I334" s="19">
        <v>1152</v>
      </c>
      <c r="J334" s="19">
        <v>1231</v>
      </c>
      <c r="K334" s="19">
        <v>1148</v>
      </c>
      <c r="L334" s="19">
        <v>1149</v>
      </c>
      <c r="M334" s="19"/>
      <c r="N334" s="19"/>
      <c r="O334" s="20"/>
      <c r="P334" s="1"/>
      <c r="Q334" s="1"/>
    </row>
    <row r="335" spans="1:17" x14ac:dyDescent="0.2">
      <c r="A335" s="22">
        <v>35704</v>
      </c>
      <c r="B335" s="18">
        <v>1283</v>
      </c>
      <c r="C335" s="19">
        <v>1537</v>
      </c>
      <c r="D335" s="19">
        <v>1279</v>
      </c>
      <c r="E335" s="19">
        <v>1117</v>
      </c>
      <c r="F335" s="19">
        <v>1305</v>
      </c>
      <c r="G335" s="19">
        <v>1049</v>
      </c>
      <c r="H335" s="19">
        <v>1333</v>
      </c>
      <c r="I335" s="19">
        <v>1145</v>
      </c>
      <c r="J335" s="19">
        <v>1231</v>
      </c>
      <c r="K335" s="19">
        <v>1141</v>
      </c>
      <c r="L335" s="19">
        <v>1150</v>
      </c>
      <c r="M335" s="19"/>
      <c r="N335" s="19"/>
      <c r="O335" s="20"/>
      <c r="P335" s="1"/>
      <c r="Q335" s="1"/>
    </row>
    <row r="336" spans="1:17" x14ac:dyDescent="0.2">
      <c r="A336" s="22">
        <v>35735</v>
      </c>
      <c r="B336" s="18">
        <v>1292</v>
      </c>
      <c r="C336" s="19">
        <v>1537</v>
      </c>
      <c r="D336" s="19">
        <v>1286</v>
      </c>
      <c r="E336" s="19">
        <v>1121</v>
      </c>
      <c r="F336" s="19">
        <v>1305</v>
      </c>
      <c r="G336" s="19">
        <v>1047</v>
      </c>
      <c r="H336" s="19">
        <v>1336</v>
      </c>
      <c r="I336" s="19">
        <v>1145</v>
      </c>
      <c r="J336" s="19">
        <v>1229</v>
      </c>
      <c r="K336" s="19">
        <v>1138</v>
      </c>
      <c r="L336" s="19">
        <v>1146</v>
      </c>
      <c r="M336" s="19"/>
      <c r="N336" s="19"/>
      <c r="O336" s="20"/>
      <c r="P336" s="1"/>
      <c r="Q336" s="1"/>
    </row>
    <row r="337" spans="1:17" x14ac:dyDescent="0.2">
      <c r="A337" s="22">
        <v>35765</v>
      </c>
      <c r="B337" s="18">
        <v>1280</v>
      </c>
      <c r="C337" s="19">
        <v>1534</v>
      </c>
      <c r="D337" s="19">
        <v>1290</v>
      </c>
      <c r="E337" s="19">
        <v>1124</v>
      </c>
      <c r="F337" s="19">
        <v>1310</v>
      </c>
      <c r="G337" s="19">
        <v>1055</v>
      </c>
      <c r="H337" s="19">
        <v>1334</v>
      </c>
      <c r="I337" s="19">
        <v>1149</v>
      </c>
      <c r="J337" s="19">
        <v>1232</v>
      </c>
      <c r="K337" s="19">
        <v>1149</v>
      </c>
      <c r="L337" s="19">
        <v>1145</v>
      </c>
      <c r="M337" s="19"/>
      <c r="N337" s="19"/>
      <c r="O337" s="20"/>
    </row>
    <row r="338" spans="1:17" x14ac:dyDescent="0.2">
      <c r="A338" s="22">
        <v>35796</v>
      </c>
      <c r="B338" s="18">
        <v>1281</v>
      </c>
      <c r="C338" s="19">
        <v>1536</v>
      </c>
      <c r="D338" s="19">
        <v>1286</v>
      </c>
      <c r="E338" s="19">
        <v>1123</v>
      </c>
      <c r="F338" s="19">
        <v>1311</v>
      </c>
      <c r="G338" s="19">
        <v>1053</v>
      </c>
      <c r="H338" s="19">
        <v>1330</v>
      </c>
      <c r="I338" s="19">
        <v>1146</v>
      </c>
      <c r="J338" s="19">
        <v>1233</v>
      </c>
      <c r="K338" s="19">
        <v>1144</v>
      </c>
      <c r="L338" s="19">
        <v>1150</v>
      </c>
      <c r="M338" s="19"/>
      <c r="N338" s="19"/>
      <c r="O338" s="20"/>
    </row>
    <row r="339" spans="1:17" x14ac:dyDescent="0.2">
      <c r="A339" s="22">
        <v>35827</v>
      </c>
      <c r="B339" s="18">
        <v>1295</v>
      </c>
      <c r="C339" s="19">
        <v>1535</v>
      </c>
      <c r="D339" s="19">
        <v>1286</v>
      </c>
      <c r="E339" s="19">
        <v>1127</v>
      </c>
      <c r="F339" s="19">
        <v>1315</v>
      </c>
      <c r="G339" s="19">
        <v>1055</v>
      </c>
      <c r="H339" s="19">
        <v>1336</v>
      </c>
      <c r="I339" s="19">
        <v>1148</v>
      </c>
      <c r="J339" s="19">
        <v>1243</v>
      </c>
      <c r="K339" s="19">
        <v>1145</v>
      </c>
      <c r="L339" s="19">
        <v>1149</v>
      </c>
      <c r="M339" s="19"/>
      <c r="N339" s="19"/>
      <c r="O339" s="20"/>
    </row>
    <row r="340" spans="1:17" x14ac:dyDescent="0.2">
      <c r="A340" s="22">
        <v>35855</v>
      </c>
      <c r="B340" s="18">
        <v>1289</v>
      </c>
      <c r="C340" s="19">
        <v>1535</v>
      </c>
      <c r="D340" s="19">
        <v>1289</v>
      </c>
      <c r="E340" s="19">
        <v>1127</v>
      </c>
      <c r="F340" s="19">
        <v>1321</v>
      </c>
      <c r="G340" s="19">
        <v>1057</v>
      </c>
      <c r="H340" s="19">
        <v>1339</v>
      </c>
      <c r="I340" s="19">
        <v>1142</v>
      </c>
      <c r="J340" s="19">
        <v>1248</v>
      </c>
      <c r="K340" s="19">
        <v>1154</v>
      </c>
      <c r="L340" s="19">
        <v>1153</v>
      </c>
      <c r="M340" s="19"/>
      <c r="N340" s="19"/>
      <c r="O340" s="20"/>
    </row>
    <row r="341" spans="1:17" x14ac:dyDescent="0.2">
      <c r="A341" s="22">
        <v>35886</v>
      </c>
      <c r="B341" s="18">
        <v>1292</v>
      </c>
      <c r="C341" s="19">
        <v>1542</v>
      </c>
      <c r="D341" s="19">
        <v>1278</v>
      </c>
      <c r="E341" s="19">
        <v>1132</v>
      </c>
      <c r="F341" s="19">
        <v>1322</v>
      </c>
      <c r="G341" s="19">
        <v>1060</v>
      </c>
      <c r="H341" s="19">
        <v>1341</v>
      </c>
      <c r="I341" s="19">
        <v>1153</v>
      </c>
      <c r="J341" s="19">
        <v>1245</v>
      </c>
      <c r="K341" s="19">
        <v>1152</v>
      </c>
      <c r="L341" s="19">
        <v>1155</v>
      </c>
      <c r="M341" s="19"/>
      <c r="N341" s="19"/>
      <c r="O341" s="20"/>
    </row>
    <row r="342" spans="1:17" x14ac:dyDescent="0.2">
      <c r="A342" s="22">
        <v>35916</v>
      </c>
      <c r="B342" s="18">
        <v>1295</v>
      </c>
      <c r="C342" s="19">
        <v>1542</v>
      </c>
      <c r="D342" s="19">
        <v>1282</v>
      </c>
      <c r="E342" s="19">
        <v>1131</v>
      </c>
      <c r="F342" s="19">
        <v>1318</v>
      </c>
      <c r="G342" s="19">
        <v>1072</v>
      </c>
      <c r="H342" s="19">
        <v>1345</v>
      </c>
      <c r="I342" s="19">
        <v>1157</v>
      </c>
      <c r="J342" s="19">
        <v>1248</v>
      </c>
      <c r="K342" s="19">
        <v>1154</v>
      </c>
      <c r="L342" s="19">
        <v>1155</v>
      </c>
      <c r="M342" s="19"/>
      <c r="N342" s="19"/>
      <c r="O342" s="20"/>
    </row>
    <row r="343" spans="1:17" x14ac:dyDescent="0.2">
      <c r="A343" s="22">
        <v>35947</v>
      </c>
      <c r="B343" s="18">
        <v>1289</v>
      </c>
      <c r="C343" s="19">
        <v>1542</v>
      </c>
      <c r="D343" s="19">
        <v>1282</v>
      </c>
      <c r="E343" s="19">
        <v>1134</v>
      </c>
      <c r="F343" s="19">
        <v>1312</v>
      </c>
      <c r="G343" s="19">
        <v>1074</v>
      </c>
      <c r="H343" s="19">
        <v>1343</v>
      </c>
      <c r="I343" s="19">
        <v>1156</v>
      </c>
      <c r="J343" s="19">
        <v>1245</v>
      </c>
      <c r="K343" s="19">
        <v>1156</v>
      </c>
      <c r="L343" s="19">
        <v>1150</v>
      </c>
      <c r="M343" s="19"/>
      <c r="N343" s="19"/>
      <c r="O343" s="20"/>
    </row>
    <row r="344" spans="1:17" x14ac:dyDescent="0.2">
      <c r="A344" s="22">
        <v>35977</v>
      </c>
      <c r="B344" s="18">
        <v>1286</v>
      </c>
      <c r="C344" s="19">
        <v>1537</v>
      </c>
      <c r="D344" s="19">
        <v>1279</v>
      </c>
      <c r="E344" s="19">
        <v>1145</v>
      </c>
      <c r="F344" s="19">
        <v>1312</v>
      </c>
      <c r="G344" s="19">
        <v>1074</v>
      </c>
      <c r="H344" s="19">
        <v>1338</v>
      </c>
      <c r="I344" s="19">
        <v>1151</v>
      </c>
      <c r="J344" s="19">
        <v>1231</v>
      </c>
      <c r="K344" s="19">
        <v>1149</v>
      </c>
      <c r="L344" s="19">
        <v>1152</v>
      </c>
      <c r="M344" s="19"/>
      <c r="N344" s="19"/>
      <c r="O344" s="20"/>
      <c r="Q344" s="5" t="s">
        <v>21</v>
      </c>
    </row>
    <row r="345" spans="1:17" x14ac:dyDescent="0.2">
      <c r="A345" s="22">
        <v>36008</v>
      </c>
      <c r="B345" s="18">
        <v>1283</v>
      </c>
      <c r="C345" s="19">
        <v>1534</v>
      </c>
      <c r="D345" s="19">
        <v>1279</v>
      </c>
      <c r="E345" s="19">
        <v>1123</v>
      </c>
      <c r="F345" s="19">
        <v>1309</v>
      </c>
      <c r="G345" s="19">
        <v>1071</v>
      </c>
      <c r="H345" s="19">
        <v>1333</v>
      </c>
      <c r="I345" s="19">
        <v>1145</v>
      </c>
      <c r="J345" s="19">
        <v>1228</v>
      </c>
      <c r="K345" s="19">
        <v>1143</v>
      </c>
      <c r="L345" s="19">
        <v>1154</v>
      </c>
      <c r="M345" s="19"/>
      <c r="N345" s="19"/>
      <c r="O345" s="20"/>
    </row>
    <row r="346" spans="1:17" x14ac:dyDescent="0.2">
      <c r="A346" s="22">
        <v>36039</v>
      </c>
      <c r="B346" s="18">
        <v>1280</v>
      </c>
      <c r="C346" s="19">
        <v>1536</v>
      </c>
      <c r="D346" s="19">
        <v>1277</v>
      </c>
      <c r="E346" s="19">
        <v>1119</v>
      </c>
      <c r="F346" s="19">
        <v>1304</v>
      </c>
      <c r="G346" s="19">
        <v>1069</v>
      </c>
      <c r="H346" s="19">
        <v>1331</v>
      </c>
      <c r="I346" s="19">
        <v>1142</v>
      </c>
      <c r="J346" s="19">
        <v>1217</v>
      </c>
      <c r="K346" s="19">
        <v>1142</v>
      </c>
      <c r="L346" s="19">
        <v>1152</v>
      </c>
      <c r="M346" s="19"/>
      <c r="N346" s="19"/>
      <c r="O346" s="20"/>
    </row>
    <row r="347" spans="1:17" x14ac:dyDescent="0.2">
      <c r="A347" s="22">
        <v>36069</v>
      </c>
      <c r="B347" s="18">
        <v>1282</v>
      </c>
      <c r="C347" s="19">
        <v>1538</v>
      </c>
      <c r="D347" s="19">
        <v>1284</v>
      </c>
      <c r="E347" s="19">
        <v>1112</v>
      </c>
      <c r="F347" s="19">
        <v>1304</v>
      </c>
      <c r="G347" s="19">
        <v>1060</v>
      </c>
      <c r="H347" s="19">
        <v>1331</v>
      </c>
      <c r="I347" s="19">
        <v>1137</v>
      </c>
      <c r="J347" s="19">
        <v>1212</v>
      </c>
      <c r="K347" s="19">
        <v>1138</v>
      </c>
      <c r="L347" s="19">
        <v>1150</v>
      </c>
      <c r="M347" s="19"/>
      <c r="N347" s="19"/>
      <c r="O347" s="20"/>
    </row>
    <row r="348" spans="1:17" x14ac:dyDescent="0.2">
      <c r="A348" s="22">
        <v>36100</v>
      </c>
      <c r="B348" s="18">
        <v>1297</v>
      </c>
      <c r="C348" s="19">
        <v>1540</v>
      </c>
      <c r="D348" s="19">
        <v>1285</v>
      </c>
      <c r="E348" s="19">
        <v>1145</v>
      </c>
      <c r="F348" s="19">
        <v>1315</v>
      </c>
      <c r="G348" s="19">
        <v>1058</v>
      </c>
      <c r="H348" s="19">
        <v>1343</v>
      </c>
      <c r="I348" s="19">
        <v>1148</v>
      </c>
      <c r="J348" s="19">
        <v>1220</v>
      </c>
      <c r="K348" s="19">
        <v>1146</v>
      </c>
      <c r="L348" s="19">
        <v>1156</v>
      </c>
      <c r="M348" s="19"/>
      <c r="N348" s="19"/>
      <c r="O348" s="20"/>
    </row>
    <row r="349" spans="1:17" x14ac:dyDescent="0.2">
      <c r="A349" s="22">
        <v>36130</v>
      </c>
      <c r="B349" s="18">
        <v>1278</v>
      </c>
      <c r="C349" s="19">
        <v>1541</v>
      </c>
      <c r="D349" s="19">
        <v>1264</v>
      </c>
      <c r="E349" s="19">
        <v>1117</v>
      </c>
      <c r="F349" s="19">
        <v>1285</v>
      </c>
      <c r="G349" s="19">
        <v>1052</v>
      </c>
      <c r="H349" s="19">
        <v>1344</v>
      </c>
      <c r="I349" s="19">
        <v>1138</v>
      </c>
      <c r="J349" s="19">
        <v>1226</v>
      </c>
      <c r="K349" s="19">
        <v>1135</v>
      </c>
      <c r="L349" s="19">
        <v>1138</v>
      </c>
      <c r="M349" s="19"/>
      <c r="N349" s="19"/>
      <c r="O349" s="20"/>
    </row>
    <row r="350" spans="1:17" x14ac:dyDescent="0.2">
      <c r="A350" s="22">
        <v>36161</v>
      </c>
      <c r="B350" s="18">
        <v>1275</v>
      </c>
      <c r="C350" s="19">
        <v>1540</v>
      </c>
      <c r="D350" s="19">
        <v>1262</v>
      </c>
      <c r="E350" s="19">
        <v>1120</v>
      </c>
      <c r="F350" s="19">
        <v>1289</v>
      </c>
      <c r="G350" s="19">
        <v>1056</v>
      </c>
      <c r="H350" s="19">
        <v>1337</v>
      </c>
      <c r="I350" s="19">
        <v>1134</v>
      </c>
      <c r="J350" s="19">
        <v>1244</v>
      </c>
      <c r="K350" s="19">
        <v>1148</v>
      </c>
      <c r="L350" s="19">
        <v>1152</v>
      </c>
      <c r="M350" s="19"/>
      <c r="N350" s="19"/>
      <c r="O350" s="20"/>
    </row>
    <row r="351" spans="1:17" x14ac:dyDescent="0.2">
      <c r="A351" s="22">
        <v>36192</v>
      </c>
      <c r="B351" s="18">
        <v>1277</v>
      </c>
      <c r="C351" s="19">
        <v>1541</v>
      </c>
      <c r="D351" s="19">
        <v>1263</v>
      </c>
      <c r="E351" s="19">
        <v>1135</v>
      </c>
      <c r="F351" s="19">
        <v>1268</v>
      </c>
      <c r="G351" s="19">
        <v>1054</v>
      </c>
      <c r="H351" s="19">
        <v>1339</v>
      </c>
      <c r="I351" s="19">
        <v>1143</v>
      </c>
      <c r="J351" s="19">
        <v>1253</v>
      </c>
      <c r="K351" s="19">
        <v>1147</v>
      </c>
      <c r="L351" s="19">
        <v>1162</v>
      </c>
      <c r="M351" s="19"/>
      <c r="N351" s="19"/>
      <c r="O351" s="20"/>
    </row>
    <row r="352" spans="1:17" x14ac:dyDescent="0.2">
      <c r="A352" s="22">
        <v>36220</v>
      </c>
      <c r="B352" s="18">
        <v>1283</v>
      </c>
      <c r="C352" s="19">
        <v>1541</v>
      </c>
      <c r="D352" s="19">
        <v>1255</v>
      </c>
      <c r="E352" s="19">
        <v>1130</v>
      </c>
      <c r="F352" s="19">
        <v>1293</v>
      </c>
      <c r="G352" s="19">
        <v>1049</v>
      </c>
      <c r="H352" s="19">
        <v>1341</v>
      </c>
      <c r="I352" s="19">
        <v>1142</v>
      </c>
      <c r="J352" s="19">
        <v>1255</v>
      </c>
      <c r="K352" s="19">
        <v>1136</v>
      </c>
      <c r="L352" s="19">
        <v>1162</v>
      </c>
      <c r="M352" s="19"/>
      <c r="N352" s="19"/>
      <c r="O352" s="20"/>
    </row>
    <row r="353" spans="1:17" x14ac:dyDescent="0.2">
      <c r="A353" s="22">
        <v>36251</v>
      </c>
      <c r="B353" s="18">
        <v>1276</v>
      </c>
      <c r="C353" s="19">
        <v>1540</v>
      </c>
      <c r="D353" s="19">
        <v>1265</v>
      </c>
      <c r="E353" s="19">
        <v>1133</v>
      </c>
      <c r="F353" s="19">
        <v>1295</v>
      </c>
      <c r="G353" s="19">
        <v>1050</v>
      </c>
      <c r="H353" s="19">
        <v>1341</v>
      </c>
      <c r="I353" s="19">
        <v>1148</v>
      </c>
      <c r="J353" s="19">
        <v>1260</v>
      </c>
      <c r="K353" s="19">
        <v>1140</v>
      </c>
      <c r="L353" s="19">
        <v>1162</v>
      </c>
      <c r="M353" s="19"/>
      <c r="N353" s="19"/>
      <c r="O353" s="20"/>
      <c r="P353" s="1"/>
      <c r="Q353" s="1"/>
    </row>
    <row r="354" spans="1:17" x14ac:dyDescent="0.2">
      <c r="A354" s="22">
        <v>36281</v>
      </c>
      <c r="B354" s="18">
        <v>1275</v>
      </c>
      <c r="C354" s="19">
        <v>1540</v>
      </c>
      <c r="D354" s="19">
        <v>1255</v>
      </c>
      <c r="E354" s="19">
        <v>1124</v>
      </c>
      <c r="F354" s="19">
        <v>1290</v>
      </c>
      <c r="G354" s="19">
        <v>1049</v>
      </c>
      <c r="H354" s="19">
        <v>1337</v>
      </c>
      <c r="I354" s="19">
        <v>1139</v>
      </c>
      <c r="J354" s="19">
        <v>1255</v>
      </c>
      <c r="K354" s="19">
        <v>1128</v>
      </c>
      <c r="L354" s="19">
        <v>1162</v>
      </c>
      <c r="M354" s="19"/>
      <c r="N354" s="19"/>
      <c r="O354" s="20"/>
      <c r="P354" s="1"/>
      <c r="Q354" s="1"/>
    </row>
    <row r="355" spans="1:17" x14ac:dyDescent="0.2">
      <c r="A355" s="22">
        <v>36312</v>
      </c>
      <c r="B355" s="18">
        <v>1275</v>
      </c>
      <c r="C355" s="19">
        <v>1541</v>
      </c>
      <c r="D355" s="19">
        <v>1257</v>
      </c>
      <c r="E355" s="19">
        <v>1126</v>
      </c>
      <c r="F355" s="19">
        <v>1290</v>
      </c>
      <c r="G355" s="19">
        <v>1052</v>
      </c>
      <c r="H355" s="19">
        <v>1332</v>
      </c>
      <c r="I355" s="19">
        <v>1156</v>
      </c>
      <c r="J355" s="19">
        <v>1254</v>
      </c>
      <c r="K355" s="19">
        <v>1131</v>
      </c>
      <c r="L355" s="19">
        <v>1162</v>
      </c>
      <c r="M355" s="19"/>
      <c r="N355" s="19"/>
      <c r="O355" s="20"/>
      <c r="P355" s="1"/>
      <c r="Q355" s="1"/>
    </row>
    <row r="356" spans="1:17" x14ac:dyDescent="0.2">
      <c r="A356" s="22">
        <v>36342</v>
      </c>
      <c r="B356" s="18">
        <v>1279</v>
      </c>
      <c r="C356" s="19">
        <v>1541</v>
      </c>
      <c r="D356" s="19">
        <v>1252</v>
      </c>
      <c r="E356" s="19">
        <v>1120</v>
      </c>
      <c r="F356" s="19">
        <v>1286</v>
      </c>
      <c r="G356" s="19">
        <v>1047</v>
      </c>
      <c r="H356" s="19">
        <v>1341</v>
      </c>
      <c r="I356" s="19">
        <v>1148</v>
      </c>
      <c r="J356" s="19">
        <v>1240</v>
      </c>
      <c r="K356" s="19">
        <v>1132</v>
      </c>
      <c r="L356" s="19">
        <v>1162</v>
      </c>
      <c r="M356" s="19"/>
      <c r="N356" s="19"/>
      <c r="O356" s="20"/>
      <c r="P356" s="1"/>
      <c r="Q356" s="1"/>
    </row>
    <row r="357" spans="1:17" x14ac:dyDescent="0.2">
      <c r="A357" s="22">
        <v>36373</v>
      </c>
      <c r="B357" s="18">
        <v>1259</v>
      </c>
      <c r="C357" s="19">
        <v>1541</v>
      </c>
      <c r="D357" s="19">
        <v>1254</v>
      </c>
      <c r="E357" s="19">
        <v>1130</v>
      </c>
      <c r="F357" s="19">
        <v>1286</v>
      </c>
      <c r="G357" s="19">
        <v>1048</v>
      </c>
      <c r="H357" s="19">
        <v>1342</v>
      </c>
      <c r="I357" s="19">
        <v>1142</v>
      </c>
      <c r="J357" s="19">
        <v>1243</v>
      </c>
      <c r="K357" s="19">
        <v>1134</v>
      </c>
      <c r="L357" s="19">
        <v>1150</v>
      </c>
      <c r="M357" s="19"/>
      <c r="N357" s="19"/>
      <c r="O357" s="20"/>
      <c r="P357" s="1"/>
      <c r="Q357" s="1"/>
    </row>
    <row r="358" spans="1:17" x14ac:dyDescent="0.2">
      <c r="A358" s="22">
        <v>36404</v>
      </c>
      <c r="B358" s="18">
        <v>1262</v>
      </c>
      <c r="C358" s="19">
        <v>1537</v>
      </c>
      <c r="D358" s="19">
        <v>1255</v>
      </c>
      <c r="E358" s="19">
        <v>1135</v>
      </c>
      <c r="F358" s="19">
        <v>1280</v>
      </c>
      <c r="G358" s="19">
        <v>1051</v>
      </c>
      <c r="H358" s="19">
        <v>1340</v>
      </c>
      <c r="I358" s="19">
        <v>1150</v>
      </c>
      <c r="J358" s="19">
        <v>1244</v>
      </c>
      <c r="K358" s="19">
        <v>1144</v>
      </c>
      <c r="L358" s="19">
        <v>1150</v>
      </c>
      <c r="M358" s="19"/>
      <c r="N358" s="19"/>
      <c r="O358" s="20"/>
      <c r="P358" s="1"/>
      <c r="Q358" s="1"/>
    </row>
    <row r="359" spans="1:17" x14ac:dyDescent="0.2">
      <c r="A359" s="22">
        <v>36435</v>
      </c>
      <c r="B359" s="18">
        <v>1265</v>
      </c>
      <c r="C359" s="19">
        <v>1538</v>
      </c>
      <c r="D359" s="19">
        <v>1256</v>
      </c>
      <c r="E359" s="19">
        <v>1125</v>
      </c>
      <c r="F359" s="19">
        <v>1279</v>
      </c>
      <c r="G359" s="19">
        <v>1048</v>
      </c>
      <c r="H359" s="19">
        <v>1339</v>
      </c>
      <c r="I359" s="19">
        <v>1147</v>
      </c>
      <c r="J359" s="19">
        <v>1232</v>
      </c>
      <c r="K359" s="19">
        <v>1145</v>
      </c>
      <c r="L359" s="19">
        <v>1142</v>
      </c>
      <c r="M359" s="19"/>
      <c r="N359" s="19"/>
      <c r="O359" s="20"/>
      <c r="P359" s="1"/>
      <c r="Q359" s="1"/>
    </row>
    <row r="360" spans="1:17" x14ac:dyDescent="0.2">
      <c r="A360" s="22">
        <v>36466</v>
      </c>
      <c r="B360" s="18">
        <v>1268</v>
      </c>
      <c r="C360" s="19">
        <v>1538</v>
      </c>
      <c r="D360" s="19">
        <v>1258</v>
      </c>
      <c r="E360" s="19">
        <v>1125</v>
      </c>
      <c r="F360" s="19">
        <v>1276</v>
      </c>
      <c r="G360" s="19">
        <v>1045</v>
      </c>
      <c r="H360" s="19">
        <v>1342</v>
      </c>
      <c r="I360" s="19">
        <v>1141</v>
      </c>
      <c r="J360" s="19">
        <v>1225</v>
      </c>
      <c r="K360" s="19">
        <v>1138</v>
      </c>
      <c r="L360" s="19">
        <v>1143</v>
      </c>
      <c r="M360" s="19"/>
      <c r="N360" s="19"/>
      <c r="O360" s="20"/>
      <c r="P360" s="1"/>
      <c r="Q360" s="1"/>
    </row>
    <row r="361" spans="1:17" x14ac:dyDescent="0.2">
      <c r="A361" s="22">
        <v>36497</v>
      </c>
      <c r="B361" s="18">
        <v>1274</v>
      </c>
      <c r="C361" s="19">
        <v>1539</v>
      </c>
      <c r="D361" s="19">
        <v>1256</v>
      </c>
      <c r="E361" s="19">
        <v>1217</v>
      </c>
      <c r="F361" s="19">
        <v>1276</v>
      </c>
      <c r="G361" s="19">
        <v>1043</v>
      </c>
      <c r="H361" s="19">
        <v>1340</v>
      </c>
      <c r="I361" s="19">
        <v>1134</v>
      </c>
      <c r="J361" s="19">
        <v>1205</v>
      </c>
      <c r="K361" s="19">
        <v>1135</v>
      </c>
      <c r="L361" s="19">
        <v>1142</v>
      </c>
      <c r="M361" s="19"/>
      <c r="N361" s="19"/>
      <c r="O361" s="20"/>
      <c r="P361" s="1"/>
      <c r="Q361" s="1"/>
    </row>
    <row r="362" spans="1:17" x14ac:dyDescent="0.2">
      <c r="A362" s="22">
        <v>36526</v>
      </c>
      <c r="B362" s="18">
        <v>1265</v>
      </c>
      <c r="C362" s="19">
        <v>1538</v>
      </c>
      <c r="D362" s="19">
        <v>1255</v>
      </c>
      <c r="E362" s="19">
        <v>1133</v>
      </c>
      <c r="F362" s="19">
        <v>1274</v>
      </c>
      <c r="G362" s="19">
        <v>1035</v>
      </c>
      <c r="H362" s="19">
        <v>1336</v>
      </c>
      <c r="I362" s="19">
        <v>1146</v>
      </c>
      <c r="J362" s="19">
        <v>1212</v>
      </c>
      <c r="K362" s="19">
        <v>1144</v>
      </c>
      <c r="L362" s="19">
        <v>1144</v>
      </c>
      <c r="M362" s="19"/>
      <c r="N362" s="19"/>
      <c r="O362" s="20"/>
      <c r="P362" s="1"/>
      <c r="Q362" s="1"/>
    </row>
    <row r="363" spans="1:17" x14ac:dyDescent="0.2">
      <c r="A363" s="22">
        <v>36557</v>
      </c>
      <c r="B363" s="18">
        <v>1284</v>
      </c>
      <c r="C363" s="19">
        <v>1538</v>
      </c>
      <c r="D363" s="19">
        <v>1257</v>
      </c>
      <c r="E363" s="19">
        <v>1137</v>
      </c>
      <c r="F363" s="19">
        <v>1277</v>
      </c>
      <c r="G363" s="19">
        <v>1040</v>
      </c>
      <c r="H363" s="19">
        <v>1336</v>
      </c>
      <c r="I363" s="19">
        <v>1147</v>
      </c>
      <c r="J363" s="19">
        <v>1226</v>
      </c>
      <c r="K363" s="19">
        <v>1151</v>
      </c>
      <c r="L363" s="19">
        <v>1150</v>
      </c>
      <c r="M363" s="19"/>
      <c r="N363" s="19"/>
      <c r="O363" s="20"/>
      <c r="P363" s="1"/>
      <c r="Q363" s="1"/>
    </row>
    <row r="364" spans="1:17" x14ac:dyDescent="0.2">
      <c r="A364" s="22">
        <v>36586</v>
      </c>
      <c r="B364" s="18">
        <v>1285</v>
      </c>
      <c r="C364" s="19">
        <v>1538</v>
      </c>
      <c r="D364" s="19">
        <v>1255</v>
      </c>
      <c r="E364" s="19">
        <v>1141</v>
      </c>
      <c r="F364" s="19">
        <v>1285</v>
      </c>
      <c r="G364" s="19">
        <v>1041</v>
      </c>
      <c r="H364" s="19">
        <v>1340</v>
      </c>
      <c r="I364" s="19">
        <v>1158</v>
      </c>
      <c r="J364" s="19">
        <v>1232</v>
      </c>
      <c r="K364" s="19">
        <v>1156</v>
      </c>
      <c r="L364" s="19">
        <v>1145</v>
      </c>
      <c r="M364" s="19"/>
      <c r="N364" s="19"/>
      <c r="O364" s="20"/>
      <c r="P364" s="1"/>
      <c r="Q364" s="1"/>
    </row>
    <row r="365" spans="1:17" x14ac:dyDescent="0.2">
      <c r="A365" s="22">
        <v>36617</v>
      </c>
      <c r="B365" s="18">
        <v>1281</v>
      </c>
      <c r="C365" s="19">
        <v>1539</v>
      </c>
      <c r="D365" s="19">
        <v>1277</v>
      </c>
      <c r="E365" s="19">
        <v>1161</v>
      </c>
      <c r="F365" s="19">
        <v>1287</v>
      </c>
      <c r="G365" s="19">
        <v>1041</v>
      </c>
      <c r="H365" s="19">
        <v>1347</v>
      </c>
      <c r="I365" s="19">
        <v>1161</v>
      </c>
      <c r="J365" s="19">
        <v>1233</v>
      </c>
      <c r="K365" s="19">
        <v>1144</v>
      </c>
      <c r="L365" s="19">
        <v>1146</v>
      </c>
      <c r="M365" s="19"/>
      <c r="N365" s="19"/>
      <c r="O365" s="20"/>
      <c r="P365" s="1"/>
      <c r="Q365" s="1"/>
    </row>
    <row r="366" spans="1:17" x14ac:dyDescent="0.2">
      <c r="A366" s="22">
        <v>36647</v>
      </c>
      <c r="B366" s="18">
        <v>1284</v>
      </c>
      <c r="C366" s="19">
        <v>1539</v>
      </c>
      <c r="D366" s="19">
        <v>1275</v>
      </c>
      <c r="E366" s="19">
        <v>1146</v>
      </c>
      <c r="F366" s="19">
        <v>1279</v>
      </c>
      <c r="G366" s="19">
        <v>1044</v>
      </c>
      <c r="H366" s="19">
        <v>1337</v>
      </c>
      <c r="I366" s="19">
        <v>1161</v>
      </c>
      <c r="J366" s="19">
        <v>1233</v>
      </c>
      <c r="K366" s="19">
        <v>1124</v>
      </c>
      <c r="L366" s="19">
        <v>1146</v>
      </c>
      <c r="M366" s="19"/>
      <c r="N366" s="19"/>
      <c r="O366" s="20"/>
      <c r="P366" s="1"/>
      <c r="Q366" s="1"/>
    </row>
    <row r="367" spans="1:17" x14ac:dyDescent="0.2">
      <c r="A367" s="22">
        <v>36678</v>
      </c>
      <c r="B367" s="18">
        <v>1270</v>
      </c>
      <c r="C367" s="19">
        <v>1539</v>
      </c>
      <c r="D367" s="19">
        <v>1268</v>
      </c>
      <c r="E367" s="19">
        <v>1134</v>
      </c>
      <c r="F367" s="19">
        <v>1276</v>
      </c>
      <c r="G367" s="19">
        <v>1045</v>
      </c>
      <c r="H367" s="19">
        <v>1321</v>
      </c>
      <c r="I367" s="19">
        <v>1148</v>
      </c>
      <c r="J367" s="19">
        <v>1220</v>
      </c>
      <c r="K367" s="19">
        <v>1145</v>
      </c>
      <c r="L367" s="19">
        <v>1145</v>
      </c>
      <c r="M367" s="19"/>
      <c r="N367" s="19"/>
      <c r="O367" s="20"/>
      <c r="P367" s="1"/>
      <c r="Q367" s="1"/>
    </row>
    <row r="368" spans="1:17" x14ac:dyDescent="0.2">
      <c r="A368" s="22">
        <v>36708</v>
      </c>
      <c r="B368" s="18">
        <v>1261</v>
      </c>
      <c r="C368" s="19">
        <v>1539</v>
      </c>
      <c r="D368" s="19">
        <v>1268</v>
      </c>
      <c r="E368" s="19">
        <v>1125</v>
      </c>
      <c r="F368" s="19">
        <v>1268</v>
      </c>
      <c r="G368" s="19">
        <v>1049</v>
      </c>
      <c r="H368" s="19">
        <v>1315</v>
      </c>
      <c r="I368" s="19">
        <v>1137</v>
      </c>
      <c r="J368" s="19">
        <v>1210</v>
      </c>
      <c r="K368" s="19">
        <v>1155</v>
      </c>
      <c r="L368" s="19">
        <v>1146</v>
      </c>
      <c r="M368" s="19"/>
      <c r="N368" s="19"/>
      <c r="O368" s="20"/>
      <c r="P368" s="1"/>
      <c r="Q368" s="1"/>
    </row>
    <row r="369" spans="1:17" x14ac:dyDescent="0.2">
      <c r="A369" s="22">
        <v>36739</v>
      </c>
      <c r="B369" s="18">
        <v>1265</v>
      </c>
      <c r="C369" s="19">
        <v>1539</v>
      </c>
      <c r="D369" s="19">
        <v>1252</v>
      </c>
      <c r="E369" s="19">
        <v>1125</v>
      </c>
      <c r="F369" s="19">
        <v>1275</v>
      </c>
      <c r="G369" s="19">
        <v>1049</v>
      </c>
      <c r="H369" s="19">
        <v>1337</v>
      </c>
      <c r="I369" s="19">
        <v>1143</v>
      </c>
      <c r="J369" s="19">
        <v>1208</v>
      </c>
      <c r="K369" s="19">
        <v>1140</v>
      </c>
      <c r="L369" s="19">
        <v>1146</v>
      </c>
      <c r="M369" s="19"/>
      <c r="N369" s="19"/>
      <c r="O369" s="20"/>
      <c r="P369" s="1"/>
      <c r="Q369" s="1"/>
    </row>
    <row r="370" spans="1:17" x14ac:dyDescent="0.2">
      <c r="A370" s="22">
        <v>36770</v>
      </c>
      <c r="B370" s="18">
        <v>1252</v>
      </c>
      <c r="C370" s="19">
        <v>1539</v>
      </c>
      <c r="D370" s="19">
        <v>1256</v>
      </c>
      <c r="E370" s="19">
        <v>1135</v>
      </c>
      <c r="F370" s="19">
        <v>1267</v>
      </c>
      <c r="G370" s="19">
        <v>1051</v>
      </c>
      <c r="H370" s="19">
        <v>1310</v>
      </c>
      <c r="I370" s="19">
        <v>1148</v>
      </c>
      <c r="J370" s="19">
        <v>1217</v>
      </c>
      <c r="K370" s="19">
        <v>1139</v>
      </c>
      <c r="L370" s="19">
        <v>1146</v>
      </c>
      <c r="M370" s="19"/>
      <c r="N370" s="19"/>
      <c r="O370" s="20"/>
      <c r="P370" s="1"/>
      <c r="Q370" s="1"/>
    </row>
    <row r="371" spans="1:17" x14ac:dyDescent="0.2">
      <c r="A371" s="22">
        <v>36800</v>
      </c>
      <c r="B371" s="18">
        <v>1255</v>
      </c>
      <c r="C371" s="19">
        <v>1538</v>
      </c>
      <c r="D371" s="19">
        <v>1260</v>
      </c>
      <c r="E371" s="19">
        <v>1133</v>
      </c>
      <c r="F371" s="19">
        <v>1268</v>
      </c>
      <c r="G371" s="19">
        <v>1057</v>
      </c>
      <c r="H371" s="19">
        <v>1312</v>
      </c>
      <c r="I371" s="19">
        <v>1148</v>
      </c>
      <c r="J371" s="19">
        <v>1221</v>
      </c>
      <c r="K371" s="19">
        <v>1151</v>
      </c>
      <c r="L371" s="19">
        <v>1138</v>
      </c>
      <c r="M371" s="19"/>
      <c r="N371" s="19"/>
      <c r="O371" s="20"/>
      <c r="P371" s="1"/>
      <c r="Q371" s="1"/>
    </row>
    <row r="372" spans="1:17" x14ac:dyDescent="0.2">
      <c r="A372" s="22">
        <v>36831</v>
      </c>
      <c r="B372" s="18">
        <v>1260</v>
      </c>
      <c r="C372" s="19">
        <v>1539</v>
      </c>
      <c r="D372" s="19">
        <v>1260</v>
      </c>
      <c r="E372" s="19">
        <v>1131</v>
      </c>
      <c r="F372" s="19">
        <v>1276</v>
      </c>
      <c r="G372" s="19">
        <v>1055</v>
      </c>
      <c r="H372" s="19">
        <v>1310</v>
      </c>
      <c r="I372" s="19">
        <v>1143</v>
      </c>
      <c r="J372" s="19">
        <v>1222</v>
      </c>
      <c r="K372" s="19">
        <v>1161</v>
      </c>
      <c r="L372" s="19">
        <v>1140</v>
      </c>
      <c r="M372" s="19"/>
      <c r="N372" s="19"/>
      <c r="O372" s="20"/>
      <c r="P372" s="1"/>
      <c r="Q372" s="1"/>
    </row>
    <row r="373" spans="1:17" x14ac:dyDescent="0.2">
      <c r="A373" s="22">
        <v>36861</v>
      </c>
      <c r="B373" s="18">
        <v>1270</v>
      </c>
      <c r="C373" s="19">
        <v>1540</v>
      </c>
      <c r="D373" s="19">
        <v>1265</v>
      </c>
      <c r="E373" s="19">
        <v>1124</v>
      </c>
      <c r="F373" s="19">
        <v>1275</v>
      </c>
      <c r="G373" s="19">
        <v>1050</v>
      </c>
      <c r="H373" s="19">
        <v>1336</v>
      </c>
      <c r="I373" s="19">
        <v>1131</v>
      </c>
      <c r="J373" s="19">
        <v>1226</v>
      </c>
      <c r="K373" s="19">
        <v>1163</v>
      </c>
      <c r="L373" s="19">
        <v>1137</v>
      </c>
      <c r="M373" s="19"/>
      <c r="N373" s="19"/>
      <c r="O373" s="20"/>
      <c r="P373" s="1"/>
      <c r="Q373" s="1"/>
    </row>
    <row r="374" spans="1:17" x14ac:dyDescent="0.2">
      <c r="A374" s="22">
        <v>36892</v>
      </c>
      <c r="B374" s="18">
        <v>1270</v>
      </c>
      <c r="C374" s="19">
        <v>1539</v>
      </c>
      <c r="D374" s="19">
        <v>1267</v>
      </c>
      <c r="E374" s="19">
        <v>1114</v>
      </c>
      <c r="F374" s="19">
        <v>1288</v>
      </c>
      <c r="G374" s="19">
        <v>1068</v>
      </c>
      <c r="H374" s="19">
        <v>1342</v>
      </c>
      <c r="I374" s="19">
        <v>1131</v>
      </c>
      <c r="J374" s="19">
        <v>1220</v>
      </c>
      <c r="K374" s="19">
        <v>1133</v>
      </c>
      <c r="L374" s="19">
        <v>1138</v>
      </c>
      <c r="M374" s="19"/>
      <c r="N374" s="19"/>
      <c r="O374" s="20"/>
      <c r="P374" s="1"/>
      <c r="Q374" s="1"/>
    </row>
    <row r="375" spans="1:17" x14ac:dyDescent="0.2">
      <c r="A375" s="22">
        <v>36923</v>
      </c>
      <c r="B375" s="18">
        <v>1291</v>
      </c>
      <c r="C375" s="19">
        <v>1540</v>
      </c>
      <c r="D375" s="19">
        <v>1265</v>
      </c>
      <c r="E375" s="19">
        <v>1125</v>
      </c>
      <c r="F375" s="19">
        <v>1295</v>
      </c>
      <c r="G375" s="19">
        <v>1038</v>
      </c>
      <c r="H375" s="19">
        <v>1348</v>
      </c>
      <c r="I375" s="19">
        <v>1135</v>
      </c>
      <c r="J375" s="19">
        <v>1211</v>
      </c>
      <c r="K375" s="19">
        <v>1168</v>
      </c>
      <c r="L375" s="19">
        <v>1139</v>
      </c>
      <c r="M375" s="19"/>
      <c r="N375" s="19"/>
      <c r="O375" s="20"/>
      <c r="P375" s="1"/>
      <c r="Q375" s="1"/>
    </row>
    <row r="376" spans="1:17" x14ac:dyDescent="0.2">
      <c r="A376" s="22">
        <v>36951</v>
      </c>
      <c r="B376" s="18">
        <v>1299</v>
      </c>
      <c r="C376" s="19">
        <v>1537</v>
      </c>
      <c r="D376" s="19">
        <v>1268</v>
      </c>
      <c r="E376" s="19">
        <v>1126</v>
      </c>
      <c r="F376" s="19">
        <v>1303</v>
      </c>
      <c r="G376" s="19">
        <v>1051</v>
      </c>
      <c r="H376" s="19">
        <v>1345</v>
      </c>
      <c r="I376" s="19">
        <v>1139</v>
      </c>
      <c r="J376" s="19">
        <v>1227</v>
      </c>
      <c r="K376" s="19">
        <v>1151</v>
      </c>
      <c r="L376" s="19">
        <v>1136</v>
      </c>
      <c r="M376" s="19"/>
      <c r="N376" s="19"/>
      <c r="O376" s="20"/>
      <c r="P376" s="1"/>
      <c r="Q376" s="1"/>
    </row>
    <row r="377" spans="1:17" x14ac:dyDescent="0.2">
      <c r="A377" s="22">
        <v>36982</v>
      </c>
      <c r="B377" s="18">
        <v>1287</v>
      </c>
      <c r="C377" s="19">
        <v>1540</v>
      </c>
      <c r="D377" s="19">
        <v>1257</v>
      </c>
      <c r="E377" s="19">
        <v>1126</v>
      </c>
      <c r="F377" s="19">
        <v>1297</v>
      </c>
      <c r="G377" s="19">
        <v>1041</v>
      </c>
      <c r="H377" s="19">
        <v>1341</v>
      </c>
      <c r="I377" s="19">
        <v>1136</v>
      </c>
      <c r="J377" s="19">
        <v>1223</v>
      </c>
      <c r="K377" s="19">
        <v>1157</v>
      </c>
      <c r="L377" s="19">
        <v>1137</v>
      </c>
      <c r="M377" s="19"/>
      <c r="N377" s="19"/>
      <c r="O377" s="20"/>
      <c r="P377" s="1"/>
      <c r="Q377" s="1"/>
    </row>
    <row r="378" spans="1:17" x14ac:dyDescent="0.2">
      <c r="A378" s="22">
        <v>37012</v>
      </c>
      <c r="B378" s="18">
        <v>1280</v>
      </c>
      <c r="C378" s="19">
        <v>1537</v>
      </c>
      <c r="D378" s="19">
        <v>1253</v>
      </c>
      <c r="E378" s="19">
        <v>1119</v>
      </c>
      <c r="F378" s="19">
        <v>1288</v>
      </c>
      <c r="G378" s="19">
        <v>1066</v>
      </c>
      <c r="H378" s="19">
        <v>1347</v>
      </c>
      <c r="I378" s="19">
        <v>1143</v>
      </c>
      <c r="J378" s="19">
        <v>1217</v>
      </c>
      <c r="K378" s="19">
        <v>1149</v>
      </c>
      <c r="L378" s="19">
        <v>1140</v>
      </c>
      <c r="M378" s="19"/>
      <c r="N378" s="19"/>
      <c r="O378" s="20"/>
      <c r="P378" s="1"/>
      <c r="Q378" s="1"/>
    </row>
    <row r="379" spans="1:17" x14ac:dyDescent="0.2">
      <c r="A379" s="22">
        <v>37043</v>
      </c>
      <c r="B379" s="18">
        <v>1272</v>
      </c>
      <c r="C379" s="19">
        <v>1536</v>
      </c>
      <c r="D379" s="19">
        <v>1255</v>
      </c>
      <c r="E379" s="19">
        <v>1126</v>
      </c>
      <c r="F379" s="19">
        <v>1277</v>
      </c>
      <c r="G379" s="19">
        <v>1043</v>
      </c>
      <c r="H379" s="19">
        <v>1353</v>
      </c>
      <c r="I379" s="19">
        <v>1138</v>
      </c>
      <c r="J379" s="19">
        <v>1188</v>
      </c>
      <c r="K379" s="19">
        <v>1157</v>
      </c>
      <c r="L379" s="19">
        <v>1128</v>
      </c>
      <c r="M379" s="19"/>
      <c r="N379" s="19"/>
      <c r="O379" s="20"/>
      <c r="P379" s="1"/>
      <c r="Q379" s="1"/>
    </row>
    <row r="380" spans="1:17" x14ac:dyDescent="0.2">
      <c r="A380" s="22">
        <v>37073</v>
      </c>
      <c r="B380" s="18">
        <v>1260</v>
      </c>
      <c r="C380" s="19">
        <v>1537</v>
      </c>
      <c r="D380" s="19">
        <v>1256</v>
      </c>
      <c r="E380" s="19">
        <v>1125</v>
      </c>
      <c r="F380" s="19">
        <v>1272</v>
      </c>
      <c r="G380" s="19">
        <v>1044</v>
      </c>
      <c r="H380" s="19">
        <v>1331</v>
      </c>
      <c r="I380" s="19">
        <v>1135</v>
      </c>
      <c r="J380" s="19">
        <v>1202</v>
      </c>
      <c r="K380" s="19">
        <v>1161</v>
      </c>
      <c r="L380" s="19">
        <v>1134</v>
      </c>
      <c r="M380" s="19"/>
      <c r="N380" s="19"/>
      <c r="O380" s="20"/>
      <c r="P380" s="1"/>
      <c r="Q380" s="1"/>
    </row>
    <row r="381" spans="1:17" x14ac:dyDescent="0.2">
      <c r="A381" s="22">
        <v>37104</v>
      </c>
      <c r="B381" s="18">
        <v>1255</v>
      </c>
      <c r="C381" s="19">
        <v>1533</v>
      </c>
      <c r="D381" s="19">
        <v>1256</v>
      </c>
      <c r="E381" s="19">
        <v>1122</v>
      </c>
      <c r="F381" s="19">
        <v>1269</v>
      </c>
      <c r="G381" s="19">
        <v>1032</v>
      </c>
      <c r="H381" s="19">
        <v>1330</v>
      </c>
      <c r="I381" s="19">
        <v>1136</v>
      </c>
      <c r="J381" s="19">
        <v>1195</v>
      </c>
      <c r="K381" s="19">
        <v>1129</v>
      </c>
      <c r="L381" s="19">
        <v>1130</v>
      </c>
      <c r="M381" s="19"/>
      <c r="N381" s="19"/>
      <c r="O381" s="20"/>
      <c r="P381" s="1"/>
      <c r="Q381" s="1"/>
    </row>
    <row r="382" spans="1:17" x14ac:dyDescent="0.2">
      <c r="A382" s="22">
        <v>37135</v>
      </c>
      <c r="B382" s="18">
        <v>1256</v>
      </c>
      <c r="C382" s="19">
        <v>1534</v>
      </c>
      <c r="D382" s="19">
        <v>1233</v>
      </c>
      <c r="E382" s="19">
        <v>1097</v>
      </c>
      <c r="F382" s="19">
        <v>1267</v>
      </c>
      <c r="G382" s="19">
        <v>1025</v>
      </c>
      <c r="H382" s="19">
        <v>1331</v>
      </c>
      <c r="I382" s="19">
        <v>1126</v>
      </c>
      <c r="J382" s="19">
        <v>1195</v>
      </c>
      <c r="K382" s="19">
        <v>1122</v>
      </c>
      <c r="L382" s="19">
        <v>1122</v>
      </c>
      <c r="M382" s="19"/>
      <c r="N382" s="19"/>
      <c r="O382" s="20"/>
      <c r="P382" s="1"/>
      <c r="Q382" s="1"/>
    </row>
    <row r="383" spans="1:17" x14ac:dyDescent="0.2">
      <c r="A383" s="22">
        <v>37165</v>
      </c>
      <c r="B383" s="18">
        <v>1247</v>
      </c>
      <c r="C383" s="19">
        <v>1534</v>
      </c>
      <c r="D383" s="19">
        <v>1219</v>
      </c>
      <c r="E383" s="19">
        <v>1102</v>
      </c>
      <c r="F383" s="19">
        <v>1269</v>
      </c>
      <c r="G383" s="19">
        <v>1023</v>
      </c>
      <c r="H383" s="19">
        <v>1328</v>
      </c>
      <c r="I383" s="19">
        <v>1126</v>
      </c>
      <c r="J383" s="19">
        <v>1213</v>
      </c>
      <c r="K383" s="19">
        <v>1126</v>
      </c>
      <c r="L383" s="19">
        <v>1122</v>
      </c>
      <c r="M383" s="19">
        <v>1107</v>
      </c>
      <c r="N383" s="19"/>
      <c r="O383" s="20"/>
      <c r="P383" s="1"/>
      <c r="Q383" s="1"/>
    </row>
    <row r="384" spans="1:17" x14ac:dyDescent="0.2">
      <c r="A384" s="22">
        <v>37196</v>
      </c>
      <c r="B384" s="18">
        <v>1247</v>
      </c>
      <c r="C384" s="19">
        <v>1535</v>
      </c>
      <c r="D384" s="19">
        <v>1227</v>
      </c>
      <c r="E384" s="19">
        <v>1102</v>
      </c>
      <c r="F384" s="19">
        <v>1263</v>
      </c>
      <c r="G384" s="19">
        <v>1036</v>
      </c>
      <c r="H384" s="19">
        <v>1324</v>
      </c>
      <c r="I384" s="19">
        <v>1127</v>
      </c>
      <c r="J384" s="19">
        <v>1193</v>
      </c>
      <c r="K384" s="19">
        <v>1123</v>
      </c>
      <c r="L384" s="19">
        <v>1120</v>
      </c>
      <c r="M384" s="19">
        <v>1116</v>
      </c>
      <c r="N384" s="19"/>
      <c r="O384" s="20"/>
      <c r="P384" s="1"/>
      <c r="Q384" s="1"/>
    </row>
    <row r="385" spans="1:17" x14ac:dyDescent="0.2">
      <c r="A385" s="22">
        <v>37226</v>
      </c>
      <c r="B385" s="18">
        <v>1248</v>
      </c>
      <c r="C385" s="19">
        <v>1533</v>
      </c>
      <c r="D385" s="19">
        <v>1227</v>
      </c>
      <c r="E385" s="19">
        <v>1105</v>
      </c>
      <c r="F385" s="19">
        <v>1266</v>
      </c>
      <c r="G385" s="19">
        <v>1033</v>
      </c>
      <c r="H385" s="19">
        <v>1330</v>
      </c>
      <c r="I385" s="19">
        <v>1131</v>
      </c>
      <c r="J385" s="19">
        <v>1192</v>
      </c>
      <c r="K385" s="19">
        <v>1133</v>
      </c>
      <c r="L385" s="19">
        <v>1121</v>
      </c>
      <c r="M385" s="19">
        <v>1123</v>
      </c>
      <c r="N385" s="19"/>
      <c r="O385" s="20"/>
      <c r="P385" s="1"/>
      <c r="Q385" s="1"/>
    </row>
    <row r="386" spans="1:17" x14ac:dyDescent="0.2">
      <c r="A386" s="22">
        <v>37257</v>
      </c>
      <c r="B386" s="18">
        <v>1255</v>
      </c>
      <c r="C386" s="19">
        <v>1533</v>
      </c>
      <c r="D386" s="19">
        <v>1237</v>
      </c>
      <c r="E386" s="19">
        <v>1105</v>
      </c>
      <c r="F386" s="19">
        <v>1265</v>
      </c>
      <c r="G386" s="19">
        <v>1032</v>
      </c>
      <c r="H386" s="19">
        <v>1329</v>
      </c>
      <c r="I386" s="19">
        <v>1128</v>
      </c>
      <c r="J386" s="19">
        <v>1201</v>
      </c>
      <c r="K386" s="19">
        <v>1126</v>
      </c>
      <c r="L386" s="19">
        <v>1122</v>
      </c>
      <c r="M386" s="19">
        <v>1117</v>
      </c>
      <c r="N386" s="19"/>
      <c r="O386" s="20"/>
      <c r="P386" s="1"/>
      <c r="Q386" s="1"/>
    </row>
    <row r="387" spans="1:17" x14ac:dyDescent="0.2">
      <c r="A387" s="22">
        <v>37288</v>
      </c>
      <c r="B387" s="18">
        <v>1251</v>
      </c>
      <c r="C387" s="19">
        <v>1533</v>
      </c>
      <c r="D387" s="19">
        <v>1224</v>
      </c>
      <c r="E387" s="19">
        <v>1103</v>
      </c>
      <c r="F387" s="19">
        <v>1263</v>
      </c>
      <c r="G387" s="19">
        <v>1033</v>
      </c>
      <c r="H387" s="19">
        <v>1330</v>
      </c>
      <c r="I387" s="19">
        <v>1130</v>
      </c>
      <c r="J387" s="19">
        <v>1203</v>
      </c>
      <c r="K387" s="19">
        <v>1128</v>
      </c>
      <c r="L387" s="19">
        <v>1120</v>
      </c>
      <c r="M387" s="19">
        <v>1121</v>
      </c>
      <c r="N387" s="19"/>
      <c r="O387" s="20"/>
      <c r="P387" s="1"/>
      <c r="Q387" s="1"/>
    </row>
    <row r="388" spans="1:17" x14ac:dyDescent="0.2">
      <c r="A388" s="22">
        <v>37316</v>
      </c>
      <c r="B388" s="18">
        <v>1255</v>
      </c>
      <c r="C388" s="19">
        <v>1531</v>
      </c>
      <c r="D388" s="19">
        <v>1241</v>
      </c>
      <c r="E388" s="19">
        <v>1104</v>
      </c>
      <c r="F388" s="19">
        <v>1272</v>
      </c>
      <c r="G388" s="19">
        <v>1026</v>
      </c>
      <c r="H388" s="19">
        <v>1333</v>
      </c>
      <c r="I388" s="19">
        <v>1133</v>
      </c>
      <c r="J388" s="19">
        <v>1202</v>
      </c>
      <c r="K388" s="19">
        <v>1131</v>
      </c>
      <c r="L388" s="19">
        <v>1139</v>
      </c>
      <c r="M388" s="19">
        <v>1118</v>
      </c>
      <c r="N388" s="19"/>
      <c r="O388" s="20"/>
      <c r="P388" s="1"/>
      <c r="Q388" s="1"/>
    </row>
    <row r="389" spans="1:17" x14ac:dyDescent="0.2">
      <c r="A389" s="22">
        <v>37347</v>
      </c>
      <c r="B389" s="18">
        <v>1251</v>
      </c>
      <c r="C389" s="19">
        <v>1531</v>
      </c>
      <c r="D389" s="19">
        <v>1239</v>
      </c>
      <c r="E389" s="19">
        <v>1102</v>
      </c>
      <c r="F389" s="19">
        <v>1262</v>
      </c>
      <c r="G389" s="19">
        <v>1023</v>
      </c>
      <c r="H389" s="19">
        <v>1328</v>
      </c>
      <c r="I389" s="19">
        <v>1130</v>
      </c>
      <c r="J389" s="19">
        <v>1201</v>
      </c>
      <c r="K389" s="19">
        <v>1128</v>
      </c>
      <c r="L389" s="19">
        <v>1137</v>
      </c>
      <c r="M389" s="19">
        <v>1110</v>
      </c>
      <c r="N389" s="19"/>
      <c r="O389" s="20"/>
      <c r="P389" s="1"/>
      <c r="Q389" s="1"/>
    </row>
    <row r="390" spans="1:17" x14ac:dyDescent="0.2">
      <c r="A390" s="22">
        <v>37377</v>
      </c>
      <c r="B390" s="18">
        <v>1254</v>
      </c>
      <c r="C390" s="19">
        <v>1531</v>
      </c>
      <c r="D390" s="19">
        <v>1240</v>
      </c>
      <c r="E390" s="19">
        <v>1110</v>
      </c>
      <c r="F390" s="19">
        <v>1265</v>
      </c>
      <c r="G390" s="19">
        <v>1020</v>
      </c>
      <c r="H390" s="19">
        <v>1329</v>
      </c>
      <c r="I390" s="19">
        <v>1133</v>
      </c>
      <c r="J390" s="19">
        <v>1202</v>
      </c>
      <c r="K390" s="19">
        <v>1128</v>
      </c>
      <c r="L390" s="19">
        <v>1142</v>
      </c>
      <c r="M390" s="19">
        <v>1122</v>
      </c>
      <c r="N390" s="19"/>
      <c r="O390" s="20"/>
      <c r="P390" s="1"/>
      <c r="Q390" s="1"/>
    </row>
    <row r="391" spans="1:17" x14ac:dyDescent="0.2">
      <c r="A391" s="22">
        <v>37408</v>
      </c>
      <c r="B391" s="18">
        <v>1244</v>
      </c>
      <c r="C391" s="19">
        <v>1533</v>
      </c>
      <c r="D391" s="19">
        <v>1231</v>
      </c>
      <c r="E391" s="19">
        <v>1103</v>
      </c>
      <c r="F391" s="19">
        <v>1267</v>
      </c>
      <c r="G391" s="19">
        <v>1019</v>
      </c>
      <c r="H391" s="19">
        <v>1315</v>
      </c>
      <c r="I391" s="19">
        <v>1133</v>
      </c>
      <c r="J391" s="19">
        <v>1199</v>
      </c>
      <c r="K391" s="19">
        <v>1129</v>
      </c>
      <c r="L391" s="19">
        <v>1135</v>
      </c>
      <c r="M391" s="19">
        <v>1112</v>
      </c>
      <c r="N391" s="19"/>
      <c r="O391" s="20"/>
      <c r="P391" s="1"/>
      <c r="Q391" s="1"/>
    </row>
    <row r="392" spans="1:17" x14ac:dyDescent="0.2">
      <c r="A392" s="22">
        <v>37438</v>
      </c>
      <c r="B392" s="18">
        <v>1249</v>
      </c>
      <c r="C392" s="19">
        <v>1533</v>
      </c>
      <c r="D392" s="19">
        <v>1235</v>
      </c>
      <c r="E392" s="19">
        <v>1103</v>
      </c>
      <c r="F392" s="19">
        <v>1268</v>
      </c>
      <c r="G392" s="19">
        <v>1022</v>
      </c>
      <c r="H392" s="19">
        <v>1320</v>
      </c>
      <c r="I392" s="19">
        <v>1133</v>
      </c>
      <c r="J392" s="19">
        <v>1196</v>
      </c>
      <c r="K392" s="19">
        <v>1131</v>
      </c>
      <c r="L392" s="19">
        <v>1131</v>
      </c>
      <c r="M392" s="19">
        <v>1113</v>
      </c>
      <c r="N392" s="19"/>
      <c r="O392" s="20">
        <v>1241</v>
      </c>
      <c r="P392" s="1"/>
      <c r="Q392" s="1"/>
    </row>
    <row r="393" spans="1:17" x14ac:dyDescent="0.2">
      <c r="A393" s="22">
        <v>37469</v>
      </c>
      <c r="B393" s="18">
        <v>1249</v>
      </c>
      <c r="C393" s="19">
        <v>1529</v>
      </c>
      <c r="D393" s="19">
        <v>1213</v>
      </c>
      <c r="E393" s="19">
        <v>1101</v>
      </c>
      <c r="F393" s="19">
        <v>1254</v>
      </c>
      <c r="G393" s="19">
        <v>1020</v>
      </c>
      <c r="H393" s="19">
        <v>1307</v>
      </c>
      <c r="I393" s="19">
        <v>1131</v>
      </c>
      <c r="J393" s="19">
        <v>1187</v>
      </c>
      <c r="K393" s="19">
        <v>1126</v>
      </c>
      <c r="L393" s="19">
        <v>1127</v>
      </c>
      <c r="M393" s="19">
        <v>1108</v>
      </c>
      <c r="N393" s="19"/>
      <c r="O393" s="20">
        <v>1235</v>
      </c>
      <c r="P393" s="1"/>
      <c r="Q393" s="1"/>
    </row>
    <row r="394" spans="1:17" x14ac:dyDescent="0.2">
      <c r="A394" s="22">
        <v>37500</v>
      </c>
      <c r="B394" s="18">
        <v>1239</v>
      </c>
      <c r="C394" s="19">
        <v>1531</v>
      </c>
      <c r="D394" s="19">
        <v>1227</v>
      </c>
      <c r="E394" s="19">
        <v>1103</v>
      </c>
      <c r="F394" s="19">
        <v>1255</v>
      </c>
      <c r="G394" s="19">
        <v>1019</v>
      </c>
      <c r="H394" s="19">
        <v>1327</v>
      </c>
      <c r="I394" s="19">
        <v>1127</v>
      </c>
      <c r="J394" s="19">
        <v>1190</v>
      </c>
      <c r="K394" s="19">
        <v>1123</v>
      </c>
      <c r="L394" s="19">
        <v>1122</v>
      </c>
      <c r="M394" s="19">
        <v>1112</v>
      </c>
      <c r="N394" s="19"/>
      <c r="O394" s="20">
        <v>1235</v>
      </c>
      <c r="P394" s="1"/>
      <c r="Q394" s="1"/>
    </row>
    <row r="395" spans="1:17" x14ac:dyDescent="0.2">
      <c r="A395" s="22">
        <v>37530</v>
      </c>
      <c r="B395" s="18">
        <v>1240</v>
      </c>
      <c r="C395" s="19">
        <v>1529</v>
      </c>
      <c r="D395" s="19">
        <v>1214</v>
      </c>
      <c r="E395" s="19">
        <v>1095</v>
      </c>
      <c r="F395" s="19">
        <v>1256</v>
      </c>
      <c r="G395" s="19">
        <v>1016</v>
      </c>
      <c r="H395" s="19">
        <v>1330</v>
      </c>
      <c r="I395" s="19">
        <v>1127</v>
      </c>
      <c r="J395" s="19">
        <v>1187</v>
      </c>
      <c r="K395" s="19">
        <v>1124</v>
      </c>
      <c r="L395" s="19">
        <v>1121</v>
      </c>
      <c r="M395" s="19">
        <v>1111</v>
      </c>
      <c r="N395" s="19"/>
      <c r="O395" s="20">
        <v>1234</v>
      </c>
      <c r="P395" s="1"/>
      <c r="Q395" s="1"/>
    </row>
    <row r="396" spans="1:17" x14ac:dyDescent="0.2">
      <c r="A396" s="22">
        <v>37561</v>
      </c>
      <c r="B396" s="18">
        <v>1237</v>
      </c>
      <c r="C396" s="19">
        <v>1528</v>
      </c>
      <c r="D396" s="19">
        <v>1211</v>
      </c>
      <c r="E396" s="19">
        <v>1104</v>
      </c>
      <c r="F396" s="19">
        <v>1241</v>
      </c>
      <c r="G396" s="19">
        <v>1006</v>
      </c>
      <c r="H396" s="19">
        <v>1299</v>
      </c>
      <c r="I396" s="19">
        <v>1127</v>
      </c>
      <c r="J396" s="19">
        <v>1187</v>
      </c>
      <c r="K396" s="19">
        <v>1125</v>
      </c>
      <c r="L396" s="19">
        <v>1122</v>
      </c>
      <c r="M396" s="19">
        <v>1111</v>
      </c>
      <c r="N396" s="19"/>
      <c r="O396" s="20">
        <v>1232</v>
      </c>
      <c r="P396" s="1"/>
      <c r="Q396" s="1"/>
    </row>
    <row r="397" spans="1:17" x14ac:dyDescent="0.2">
      <c r="A397" s="22">
        <v>37591</v>
      </c>
      <c r="B397" s="18">
        <v>1253</v>
      </c>
      <c r="C397" s="19">
        <v>1529</v>
      </c>
      <c r="D397" s="19">
        <v>1220</v>
      </c>
      <c r="E397" s="19">
        <v>1105</v>
      </c>
      <c r="F397" s="19">
        <v>1260</v>
      </c>
      <c r="G397" s="19">
        <v>1020</v>
      </c>
      <c r="H397" s="19">
        <v>1303</v>
      </c>
      <c r="I397" s="19">
        <v>1127</v>
      </c>
      <c r="J397" s="19">
        <v>1185</v>
      </c>
      <c r="K397" s="19">
        <v>1129</v>
      </c>
      <c r="L397" s="19">
        <v>1124</v>
      </c>
      <c r="M397" s="19">
        <v>1113</v>
      </c>
      <c r="N397" s="19"/>
      <c r="O397" s="20">
        <v>1232</v>
      </c>
      <c r="P397" s="1"/>
      <c r="Q397" s="1"/>
    </row>
    <row r="398" spans="1:17" x14ac:dyDescent="0.2">
      <c r="A398" s="22">
        <v>37622</v>
      </c>
      <c r="B398" s="18">
        <v>1242</v>
      </c>
      <c r="C398" s="19">
        <v>1528</v>
      </c>
      <c r="D398" s="19">
        <v>1218</v>
      </c>
      <c r="E398" s="19">
        <v>1106</v>
      </c>
      <c r="F398" s="19">
        <v>1256</v>
      </c>
      <c r="G398" s="19">
        <v>1018</v>
      </c>
      <c r="H398" s="19">
        <v>1325</v>
      </c>
      <c r="I398" s="19">
        <v>1130</v>
      </c>
      <c r="J398" s="19">
        <v>1190</v>
      </c>
      <c r="K398" s="19">
        <v>1126</v>
      </c>
      <c r="L398" s="19">
        <v>1120</v>
      </c>
      <c r="M398" s="19">
        <v>1099</v>
      </c>
      <c r="N398" s="19"/>
      <c r="O398" s="20">
        <v>1240</v>
      </c>
      <c r="P398" s="1"/>
      <c r="Q398" s="1"/>
    </row>
    <row r="399" spans="1:17" x14ac:dyDescent="0.2">
      <c r="A399" s="22">
        <v>37653</v>
      </c>
      <c r="B399" s="18">
        <v>1255</v>
      </c>
      <c r="C399" s="19">
        <v>1531</v>
      </c>
      <c r="D399" s="19">
        <v>1227</v>
      </c>
      <c r="E399" s="19">
        <v>1107</v>
      </c>
      <c r="F399" s="19">
        <v>1264</v>
      </c>
      <c r="G399" s="19">
        <v>1055</v>
      </c>
      <c r="H399" s="19">
        <v>1309</v>
      </c>
      <c r="I399" s="19">
        <v>1133</v>
      </c>
      <c r="J399" s="19">
        <v>1205</v>
      </c>
      <c r="K399" s="19">
        <v>1128</v>
      </c>
      <c r="L399" s="19">
        <v>1123</v>
      </c>
      <c r="M399" s="19">
        <v>1120</v>
      </c>
      <c r="N399" s="19"/>
      <c r="O399" s="20">
        <v>1249</v>
      </c>
      <c r="P399" s="1"/>
      <c r="Q399" s="1"/>
    </row>
    <row r="400" spans="1:17" x14ac:dyDescent="0.2">
      <c r="A400" s="22">
        <v>37681</v>
      </c>
      <c r="B400" s="18">
        <v>1256</v>
      </c>
      <c r="C400" s="19">
        <v>1528</v>
      </c>
      <c r="D400" s="19">
        <v>1222</v>
      </c>
      <c r="E400" s="19">
        <v>1106</v>
      </c>
      <c r="F400" s="19">
        <v>1269</v>
      </c>
      <c r="G400" s="19">
        <v>1024</v>
      </c>
      <c r="H400" s="19">
        <v>1318</v>
      </c>
      <c r="I400" s="19">
        <v>1131</v>
      </c>
      <c r="J400" s="19">
        <v>1190</v>
      </c>
      <c r="K400" s="19">
        <v>1127</v>
      </c>
      <c r="L400" s="19">
        <v>1118</v>
      </c>
      <c r="M400" s="19">
        <v>1113</v>
      </c>
      <c r="N400" s="19"/>
      <c r="O400" s="20">
        <v>1255</v>
      </c>
      <c r="P400" s="1"/>
      <c r="Q400" s="1"/>
    </row>
    <row r="401" spans="1:17" x14ac:dyDescent="0.2">
      <c r="A401" s="22">
        <v>37712</v>
      </c>
      <c r="B401" s="18">
        <v>1258</v>
      </c>
      <c r="C401" s="19">
        <v>1529</v>
      </c>
      <c r="D401" s="19">
        <v>1223</v>
      </c>
      <c r="E401" s="19">
        <v>1105</v>
      </c>
      <c r="F401" s="19">
        <v>1265</v>
      </c>
      <c r="G401" s="19">
        <v>1020</v>
      </c>
      <c r="H401" s="19">
        <v>1317</v>
      </c>
      <c r="I401" s="19">
        <v>1129</v>
      </c>
      <c r="J401" s="19">
        <v>1205</v>
      </c>
      <c r="K401" s="19">
        <v>1128</v>
      </c>
      <c r="L401" s="19">
        <v>1119</v>
      </c>
      <c r="M401" s="19">
        <v>1117</v>
      </c>
      <c r="N401" s="19"/>
      <c r="O401" s="20">
        <v>1256</v>
      </c>
      <c r="P401" s="1"/>
      <c r="Q401" s="1"/>
    </row>
    <row r="402" spans="1:17" x14ac:dyDescent="0.2">
      <c r="A402" s="22">
        <v>37742</v>
      </c>
      <c r="B402" s="18">
        <v>1252</v>
      </c>
      <c r="C402" s="19">
        <v>1529</v>
      </c>
      <c r="D402" s="19">
        <v>1224</v>
      </c>
      <c r="E402" s="19">
        <v>1101</v>
      </c>
      <c r="F402" s="19">
        <v>1265</v>
      </c>
      <c r="G402" s="19">
        <v>1020</v>
      </c>
      <c r="H402" s="19">
        <v>1331</v>
      </c>
      <c r="I402" s="19">
        <v>1124</v>
      </c>
      <c r="J402" s="19">
        <v>1194</v>
      </c>
      <c r="K402" s="19">
        <v>1121</v>
      </c>
      <c r="L402" s="19">
        <v>1118</v>
      </c>
      <c r="M402" s="19">
        <v>1110</v>
      </c>
      <c r="N402" s="19"/>
      <c r="O402" s="20">
        <v>1251</v>
      </c>
      <c r="P402" s="1"/>
      <c r="Q402" s="1"/>
    </row>
    <row r="403" spans="1:17" x14ac:dyDescent="0.2">
      <c r="A403" s="22">
        <v>37773</v>
      </c>
      <c r="B403" s="18">
        <v>1241</v>
      </c>
      <c r="C403" s="19">
        <v>1529</v>
      </c>
      <c r="D403" s="19">
        <v>1215</v>
      </c>
      <c r="E403" s="19">
        <v>1102</v>
      </c>
      <c r="F403" s="19">
        <v>1264</v>
      </c>
      <c r="G403" s="19">
        <v>1018</v>
      </c>
      <c r="H403" s="19">
        <v>1322</v>
      </c>
      <c r="I403" s="19">
        <v>1127</v>
      </c>
      <c r="J403" s="19">
        <v>1192</v>
      </c>
      <c r="K403" s="19">
        <v>1125</v>
      </c>
      <c r="L403" s="19">
        <v>1121</v>
      </c>
      <c r="M403" s="19">
        <v>1113</v>
      </c>
      <c r="N403" s="19"/>
      <c r="O403" s="20">
        <v>1239</v>
      </c>
      <c r="P403" s="1"/>
      <c r="Q403" s="1"/>
    </row>
    <row r="404" spans="1:17" x14ac:dyDescent="0.2">
      <c r="A404" s="22">
        <v>37803</v>
      </c>
      <c r="B404" s="18">
        <v>1245</v>
      </c>
      <c r="C404" s="19">
        <v>1529</v>
      </c>
      <c r="D404" s="19">
        <v>1208</v>
      </c>
      <c r="E404" s="19">
        <v>1100</v>
      </c>
      <c r="F404" s="19">
        <v>1265</v>
      </c>
      <c r="G404" s="19">
        <v>1018</v>
      </c>
      <c r="H404" s="19">
        <v>1320</v>
      </c>
      <c r="I404" s="19">
        <v>1123</v>
      </c>
      <c r="J404" s="19">
        <v>1189</v>
      </c>
      <c r="K404" s="19">
        <v>1123</v>
      </c>
      <c r="L404" s="19">
        <v>1118</v>
      </c>
      <c r="M404" s="19">
        <v>1111</v>
      </c>
      <c r="N404" s="19"/>
      <c r="O404" s="20">
        <v>1233</v>
      </c>
      <c r="P404" s="1"/>
      <c r="Q404" s="1"/>
    </row>
    <row r="405" spans="1:17" x14ac:dyDescent="0.2">
      <c r="A405" s="22">
        <v>37834</v>
      </c>
      <c r="B405" s="18">
        <v>1244</v>
      </c>
      <c r="C405" s="19">
        <v>1528</v>
      </c>
      <c r="D405" s="19">
        <v>1210</v>
      </c>
      <c r="E405" s="19">
        <v>1102</v>
      </c>
      <c r="F405" s="19">
        <v>1263</v>
      </c>
      <c r="G405" s="19">
        <v>1011</v>
      </c>
      <c r="H405" s="19">
        <v>1316</v>
      </c>
      <c r="I405" s="19">
        <v>1126</v>
      </c>
      <c r="J405" s="19">
        <v>1188</v>
      </c>
      <c r="K405" s="19">
        <v>1125</v>
      </c>
      <c r="L405" s="19">
        <v>1118</v>
      </c>
      <c r="M405" s="19">
        <v>1113</v>
      </c>
      <c r="N405" s="19"/>
      <c r="O405" s="20">
        <v>1234</v>
      </c>
      <c r="P405" s="1"/>
      <c r="Q405" s="1"/>
    </row>
    <row r="406" spans="1:17" x14ac:dyDescent="0.2">
      <c r="A406" s="22">
        <v>37865</v>
      </c>
      <c r="B406" s="18">
        <v>1247</v>
      </c>
      <c r="C406" s="19">
        <v>1529</v>
      </c>
      <c r="D406" s="19">
        <v>1211</v>
      </c>
      <c r="E406" s="19">
        <v>1104</v>
      </c>
      <c r="F406" s="19">
        <v>1256</v>
      </c>
      <c r="G406" s="19">
        <v>1021</v>
      </c>
      <c r="H406" s="19">
        <v>1324</v>
      </c>
      <c r="I406" s="19">
        <v>1130</v>
      </c>
      <c r="J406" s="19">
        <v>1189</v>
      </c>
      <c r="K406" s="19">
        <v>1126</v>
      </c>
      <c r="L406" s="19">
        <v>1122</v>
      </c>
      <c r="M406" s="19">
        <v>1114</v>
      </c>
      <c r="N406" s="19"/>
      <c r="O406" s="20">
        <v>1232</v>
      </c>
      <c r="P406" s="1"/>
      <c r="Q406" s="1"/>
    </row>
    <row r="407" spans="1:17" x14ac:dyDescent="0.2">
      <c r="A407" s="22">
        <v>37895</v>
      </c>
      <c r="B407" s="18">
        <v>1245</v>
      </c>
      <c r="C407" s="19">
        <v>1529</v>
      </c>
      <c r="D407" s="19">
        <v>1214</v>
      </c>
      <c r="E407" s="19">
        <v>1104</v>
      </c>
      <c r="F407" s="19">
        <v>1261</v>
      </c>
      <c r="G407" s="19">
        <v>1019</v>
      </c>
      <c r="H407" s="19">
        <v>1328</v>
      </c>
      <c r="I407" s="19">
        <v>1132</v>
      </c>
      <c r="J407" s="19">
        <v>1190</v>
      </c>
      <c r="K407" s="19">
        <v>1128</v>
      </c>
      <c r="L407" s="19">
        <v>1124</v>
      </c>
      <c r="M407" s="19">
        <v>1116</v>
      </c>
      <c r="N407" s="19"/>
      <c r="O407" s="20">
        <v>1235</v>
      </c>
      <c r="P407" s="1"/>
      <c r="Q407" s="1"/>
    </row>
    <row r="408" spans="1:17" x14ac:dyDescent="0.2">
      <c r="A408" s="22">
        <v>37926</v>
      </c>
      <c r="B408" s="18">
        <v>1247</v>
      </c>
      <c r="C408" s="19">
        <v>1529</v>
      </c>
      <c r="D408" s="19">
        <v>1214</v>
      </c>
      <c r="E408" s="19">
        <v>1102</v>
      </c>
      <c r="F408" s="19">
        <v>1256</v>
      </c>
      <c r="G408" s="19">
        <v>1022</v>
      </c>
      <c r="H408" s="19">
        <v>1326</v>
      </c>
      <c r="I408" s="19">
        <v>1132</v>
      </c>
      <c r="J408" s="19">
        <v>1191</v>
      </c>
      <c r="K408" s="19">
        <v>1126</v>
      </c>
      <c r="L408" s="19">
        <v>1123</v>
      </c>
      <c r="M408" s="19">
        <v>1114</v>
      </c>
      <c r="N408" s="19"/>
      <c r="O408" s="20">
        <v>1233</v>
      </c>
      <c r="P408" s="1"/>
      <c r="Q408" s="1"/>
    </row>
    <row r="409" spans="1:17" x14ac:dyDescent="0.2">
      <c r="A409" s="22">
        <v>37956</v>
      </c>
      <c r="B409" s="18">
        <v>1245</v>
      </c>
      <c r="C409" s="19">
        <v>1530</v>
      </c>
      <c r="D409" s="19">
        <v>1216</v>
      </c>
      <c r="E409" s="19">
        <v>1102</v>
      </c>
      <c r="F409" s="19">
        <v>1259</v>
      </c>
      <c r="G409" s="19">
        <v>1018</v>
      </c>
      <c r="H409" s="19">
        <v>1331</v>
      </c>
      <c r="I409" s="19">
        <v>1123</v>
      </c>
      <c r="J409" s="19">
        <v>1187</v>
      </c>
      <c r="K409" s="19">
        <v>1124</v>
      </c>
      <c r="L409" s="19">
        <v>1122</v>
      </c>
      <c r="M409" s="19">
        <v>1116</v>
      </c>
      <c r="N409" s="19"/>
      <c r="O409" s="20">
        <v>1238</v>
      </c>
      <c r="P409" s="1"/>
      <c r="Q409" s="1"/>
    </row>
    <row r="410" spans="1:17" x14ac:dyDescent="0.2">
      <c r="A410" s="22">
        <v>37987</v>
      </c>
      <c r="B410" s="18">
        <v>1252</v>
      </c>
      <c r="C410" s="19">
        <v>1530</v>
      </c>
      <c r="D410" s="19">
        <v>1213</v>
      </c>
      <c r="E410" s="19">
        <v>1101</v>
      </c>
      <c r="F410" s="19">
        <v>1258</v>
      </c>
      <c r="G410" s="19">
        <v>1022</v>
      </c>
      <c r="H410" s="19">
        <v>1334</v>
      </c>
      <c r="I410" s="19">
        <v>1129</v>
      </c>
      <c r="J410" s="19">
        <v>1188</v>
      </c>
      <c r="K410" s="19">
        <v>1126</v>
      </c>
      <c r="L410" s="19">
        <v>1121</v>
      </c>
      <c r="M410" s="19">
        <v>1111</v>
      </c>
      <c r="N410" s="19"/>
      <c r="O410" s="20">
        <v>1249</v>
      </c>
      <c r="P410" s="1"/>
      <c r="Q410" s="1"/>
    </row>
    <row r="411" spans="1:17" x14ac:dyDescent="0.2">
      <c r="A411" s="22">
        <v>38018</v>
      </c>
      <c r="B411" s="18">
        <v>1255</v>
      </c>
      <c r="C411" s="19">
        <v>1529</v>
      </c>
      <c r="D411" s="19">
        <v>1222</v>
      </c>
      <c r="E411" s="19">
        <v>1102</v>
      </c>
      <c r="F411" s="19">
        <v>1265</v>
      </c>
      <c r="G411" s="19">
        <v>1024</v>
      </c>
      <c r="H411" s="19">
        <v>1334</v>
      </c>
      <c r="I411" s="19">
        <v>1122</v>
      </c>
      <c r="J411" s="19">
        <v>1184</v>
      </c>
      <c r="K411" s="19">
        <v>1119</v>
      </c>
      <c r="L411" s="19">
        <v>1117</v>
      </c>
      <c r="M411" s="19">
        <v>1109</v>
      </c>
      <c r="N411" s="19"/>
      <c r="O411" s="20">
        <v>1249</v>
      </c>
      <c r="P411" s="1"/>
      <c r="Q411" s="1"/>
    </row>
    <row r="412" spans="1:17" x14ac:dyDescent="0.2">
      <c r="A412" s="22">
        <v>38047</v>
      </c>
      <c r="B412" s="18">
        <v>1252</v>
      </c>
      <c r="C412" s="19">
        <v>1529</v>
      </c>
      <c r="D412" s="19">
        <v>1230</v>
      </c>
      <c r="E412" s="19">
        <v>1101</v>
      </c>
      <c r="F412" s="19">
        <v>1264</v>
      </c>
      <c r="G412" s="19">
        <v>1042</v>
      </c>
      <c r="H412" s="19">
        <v>1336</v>
      </c>
      <c r="I412" s="19">
        <v>1126</v>
      </c>
      <c r="J412" s="19">
        <v>1186</v>
      </c>
      <c r="K412" s="19">
        <v>1125</v>
      </c>
      <c r="L412" s="19">
        <v>1121</v>
      </c>
      <c r="M412" s="19">
        <v>1112</v>
      </c>
      <c r="N412" s="19"/>
      <c r="O412" s="20">
        <v>1248</v>
      </c>
      <c r="P412" s="1"/>
      <c r="Q412" s="1"/>
    </row>
    <row r="413" spans="1:17" x14ac:dyDescent="0.2">
      <c r="A413" s="22">
        <v>38078</v>
      </c>
      <c r="B413" s="18">
        <v>1250</v>
      </c>
      <c r="C413" s="19">
        <v>1529</v>
      </c>
      <c r="D413" s="19">
        <v>1244</v>
      </c>
      <c r="E413" s="19">
        <v>1107</v>
      </c>
      <c r="F413" s="19">
        <v>1264</v>
      </c>
      <c r="G413" s="19">
        <v>1044</v>
      </c>
      <c r="H413" s="19">
        <v>1325</v>
      </c>
      <c r="I413" s="19">
        <v>1137</v>
      </c>
      <c r="J413" s="19">
        <v>1187</v>
      </c>
      <c r="K413" s="19">
        <v>1116</v>
      </c>
      <c r="L413" s="19">
        <v>1124</v>
      </c>
      <c r="M413" s="19">
        <v>1115</v>
      </c>
      <c r="N413" s="19"/>
      <c r="O413" s="20">
        <v>1248</v>
      </c>
      <c r="P413" s="1"/>
      <c r="Q413" s="1"/>
    </row>
    <row r="414" spans="1:17" x14ac:dyDescent="0.2">
      <c r="A414" s="22">
        <v>38108</v>
      </c>
      <c r="B414" s="18">
        <v>1247</v>
      </c>
      <c r="C414" s="19">
        <v>1528</v>
      </c>
      <c r="D414" s="19">
        <v>1216</v>
      </c>
      <c r="E414" s="19">
        <v>1107</v>
      </c>
      <c r="F414" s="19">
        <v>1263</v>
      </c>
      <c r="G414" s="19">
        <v>1041</v>
      </c>
      <c r="H414" s="19">
        <v>1335</v>
      </c>
      <c r="I414" s="19">
        <v>1130</v>
      </c>
      <c r="J414" s="19">
        <v>1190</v>
      </c>
      <c r="K414" s="19">
        <v>1127</v>
      </c>
      <c r="L414" s="19">
        <v>1120</v>
      </c>
      <c r="M414" s="19">
        <v>1111</v>
      </c>
      <c r="N414" s="19"/>
      <c r="O414" s="20">
        <v>1241</v>
      </c>
      <c r="P414" s="1"/>
      <c r="Q414" s="1"/>
    </row>
    <row r="415" spans="1:17" x14ac:dyDescent="0.2">
      <c r="A415" s="22">
        <v>38139</v>
      </c>
      <c r="B415" s="18">
        <v>1244</v>
      </c>
      <c r="C415" s="19">
        <v>1529</v>
      </c>
      <c r="D415" s="19">
        <v>1222</v>
      </c>
      <c r="E415" s="19">
        <v>1106</v>
      </c>
      <c r="F415" s="19">
        <v>1265</v>
      </c>
      <c r="G415" s="19">
        <v>1032</v>
      </c>
      <c r="H415" s="19">
        <v>1327</v>
      </c>
      <c r="I415" s="19">
        <v>1132</v>
      </c>
      <c r="J415" s="19">
        <v>1188</v>
      </c>
      <c r="K415" s="19">
        <v>1122</v>
      </c>
      <c r="L415" s="19">
        <v>1120</v>
      </c>
      <c r="M415" s="19">
        <v>1120</v>
      </c>
      <c r="N415" s="19"/>
      <c r="O415" s="20">
        <v>1239</v>
      </c>
      <c r="P415" s="1"/>
      <c r="Q415" s="1"/>
    </row>
    <row r="416" spans="1:17" x14ac:dyDescent="0.2">
      <c r="A416" s="22">
        <v>38169</v>
      </c>
      <c r="B416" s="18">
        <v>1244</v>
      </c>
      <c r="C416" s="19">
        <v>1528</v>
      </c>
      <c r="D416" s="19">
        <v>1214</v>
      </c>
      <c r="E416" s="19">
        <v>1101</v>
      </c>
      <c r="F416" s="19">
        <v>1259</v>
      </c>
      <c r="G416" s="19">
        <v>1035</v>
      </c>
      <c r="H416" s="19">
        <v>1329</v>
      </c>
      <c r="I416" s="19">
        <v>1128</v>
      </c>
      <c r="J416" s="19">
        <v>1187</v>
      </c>
      <c r="K416" s="19">
        <v>1127</v>
      </c>
      <c r="L416" s="19">
        <v>1118</v>
      </c>
      <c r="M416" s="19">
        <v>1117</v>
      </c>
      <c r="N416" s="19"/>
      <c r="O416" s="20">
        <v>1235</v>
      </c>
      <c r="P416" s="1"/>
      <c r="Q416" s="1"/>
    </row>
    <row r="417" spans="1:17" x14ac:dyDescent="0.2">
      <c r="A417" s="22">
        <v>38200</v>
      </c>
      <c r="B417" s="18">
        <v>1248</v>
      </c>
      <c r="C417" s="19">
        <v>1529</v>
      </c>
      <c r="D417" s="19">
        <v>1212</v>
      </c>
      <c r="E417" s="19">
        <v>1102</v>
      </c>
      <c r="F417" s="19">
        <v>1263</v>
      </c>
      <c r="G417" s="19">
        <v>1037</v>
      </c>
      <c r="H417" s="19">
        <v>1327</v>
      </c>
      <c r="I417" s="19">
        <v>1131</v>
      </c>
      <c r="J417" s="19">
        <v>1186</v>
      </c>
      <c r="K417" s="19">
        <v>1129</v>
      </c>
      <c r="L417" s="19">
        <v>1117</v>
      </c>
      <c r="M417" s="19">
        <v>1116</v>
      </c>
      <c r="N417" s="19"/>
      <c r="O417" s="20">
        <v>1233</v>
      </c>
      <c r="P417" s="1"/>
      <c r="Q417" s="1"/>
    </row>
    <row r="418" spans="1:17" x14ac:dyDescent="0.2">
      <c r="A418" s="22">
        <v>38231</v>
      </c>
      <c r="B418" s="18">
        <v>1245</v>
      </c>
      <c r="C418" s="19">
        <v>1528</v>
      </c>
      <c r="D418" s="19">
        <v>1224</v>
      </c>
      <c r="E418" s="19">
        <v>1105</v>
      </c>
      <c r="F418" s="19">
        <v>1261</v>
      </c>
      <c r="G418" s="19">
        <v>1034</v>
      </c>
      <c r="H418" s="19">
        <v>1325</v>
      </c>
      <c r="I418" s="19">
        <v>1131</v>
      </c>
      <c r="J418" s="19">
        <v>1188</v>
      </c>
      <c r="K418" s="19">
        <v>1129</v>
      </c>
      <c r="L418" s="19">
        <v>1112</v>
      </c>
      <c r="M418" s="19">
        <v>1109</v>
      </c>
      <c r="N418" s="19"/>
      <c r="O418" s="20">
        <v>1232</v>
      </c>
      <c r="P418" s="1"/>
      <c r="Q418" s="1"/>
    </row>
    <row r="419" spans="1:17" x14ac:dyDescent="0.2">
      <c r="A419" s="22">
        <v>38261</v>
      </c>
      <c r="B419" s="18">
        <v>1244</v>
      </c>
      <c r="C419" s="19">
        <v>1527</v>
      </c>
      <c r="D419" s="19">
        <v>1214</v>
      </c>
      <c r="E419" s="19">
        <v>1104</v>
      </c>
      <c r="F419" s="19">
        <v>1259</v>
      </c>
      <c r="G419" s="19">
        <v>1031</v>
      </c>
      <c r="H419" s="19">
        <v>1324</v>
      </c>
      <c r="I419" s="19">
        <v>1127</v>
      </c>
      <c r="J419" s="19">
        <v>1177</v>
      </c>
      <c r="K419" s="19">
        <v>1125</v>
      </c>
      <c r="L419" s="19">
        <v>1122</v>
      </c>
      <c r="M419" s="19">
        <v>1111</v>
      </c>
      <c r="N419" s="19"/>
      <c r="O419" s="20">
        <v>1233</v>
      </c>
      <c r="P419" s="1"/>
      <c r="Q419" s="1"/>
    </row>
    <row r="420" spans="1:17" x14ac:dyDescent="0.2">
      <c r="A420" s="22">
        <v>38292</v>
      </c>
      <c r="B420" s="18">
        <v>1245</v>
      </c>
      <c r="C420" s="19">
        <v>1527</v>
      </c>
      <c r="D420" s="19">
        <v>1214</v>
      </c>
      <c r="E420" s="19">
        <v>1092</v>
      </c>
      <c r="F420" s="19">
        <v>1259</v>
      </c>
      <c r="G420" s="19">
        <v>1024</v>
      </c>
      <c r="H420" s="19">
        <v>1322</v>
      </c>
      <c r="I420" s="19">
        <v>1126</v>
      </c>
      <c r="J420" s="19">
        <v>1184</v>
      </c>
      <c r="K420" s="19">
        <v>1121</v>
      </c>
      <c r="L420" s="19">
        <v>1118</v>
      </c>
      <c r="M420" s="19">
        <v>1111</v>
      </c>
      <c r="N420" s="19"/>
      <c r="O420" s="20">
        <v>1238</v>
      </c>
      <c r="P420" s="1"/>
      <c r="Q420" s="1"/>
    </row>
    <row r="421" spans="1:17" x14ac:dyDescent="0.2">
      <c r="A421" s="22">
        <v>38322</v>
      </c>
      <c r="B421" s="18">
        <v>1242</v>
      </c>
      <c r="C421" s="19">
        <v>1527</v>
      </c>
      <c r="D421" s="19">
        <v>1216</v>
      </c>
      <c r="E421" s="19">
        <v>1094</v>
      </c>
      <c r="F421" s="19">
        <v>1261</v>
      </c>
      <c r="G421" s="19">
        <v>1022</v>
      </c>
      <c r="H421" s="19">
        <v>1326</v>
      </c>
      <c r="I421" s="19">
        <v>1123</v>
      </c>
      <c r="J421" s="19">
        <v>1182</v>
      </c>
      <c r="K421" s="19">
        <v>1119</v>
      </c>
      <c r="L421" s="19">
        <v>1117</v>
      </c>
      <c r="M421" s="19">
        <v>1108</v>
      </c>
      <c r="N421" s="19"/>
      <c r="O421" s="20">
        <v>1239</v>
      </c>
      <c r="P421" s="1"/>
      <c r="Q421" s="1"/>
    </row>
    <row r="422" spans="1:17" x14ac:dyDescent="0.2">
      <c r="A422" s="22">
        <v>38353</v>
      </c>
      <c r="B422" s="18">
        <v>1250</v>
      </c>
      <c r="C422" s="19">
        <v>1529</v>
      </c>
      <c r="D422" s="19">
        <v>1220</v>
      </c>
      <c r="E422" s="19">
        <v>1103</v>
      </c>
      <c r="F422" s="19">
        <v>1269</v>
      </c>
      <c r="G422" s="19">
        <v>1032</v>
      </c>
      <c r="H422" s="19">
        <v>1326</v>
      </c>
      <c r="I422" s="19">
        <v>1133</v>
      </c>
      <c r="J422" s="19">
        <v>1196</v>
      </c>
      <c r="K422" s="19">
        <v>1128</v>
      </c>
      <c r="L422" s="19">
        <v>1125</v>
      </c>
      <c r="M422" s="19">
        <v>1126</v>
      </c>
      <c r="N422" s="19"/>
      <c r="O422" s="20">
        <v>1256</v>
      </c>
      <c r="P422" s="1"/>
      <c r="Q422" s="1"/>
    </row>
    <row r="423" spans="1:17" x14ac:dyDescent="0.2">
      <c r="A423" s="22">
        <v>38384</v>
      </c>
      <c r="B423" s="18">
        <v>1246</v>
      </c>
      <c r="C423" s="19">
        <v>1527</v>
      </c>
      <c r="D423" s="19">
        <v>1234</v>
      </c>
      <c r="E423" s="19">
        <v>1118</v>
      </c>
      <c r="F423" s="19">
        <v>1264</v>
      </c>
      <c r="G423" s="19">
        <v>1034</v>
      </c>
      <c r="H423" s="19">
        <v>1330</v>
      </c>
      <c r="I423" s="19">
        <v>1137</v>
      </c>
      <c r="J423" s="19">
        <v>1222</v>
      </c>
      <c r="K423" s="19">
        <v>1138</v>
      </c>
      <c r="L423" s="19">
        <v>1134</v>
      </c>
      <c r="M423" s="19">
        <v>1124</v>
      </c>
      <c r="N423" s="19"/>
      <c r="O423" s="20">
        <v>1260</v>
      </c>
      <c r="P423" s="1"/>
      <c r="Q423" s="1"/>
    </row>
    <row r="424" spans="1:17" x14ac:dyDescent="0.2">
      <c r="A424" s="22">
        <v>38412</v>
      </c>
      <c r="B424" s="18">
        <v>1263</v>
      </c>
      <c r="C424" s="19">
        <v>1543</v>
      </c>
      <c r="D424" s="19">
        <v>1238</v>
      </c>
      <c r="E424" s="19">
        <v>1119</v>
      </c>
      <c r="F424" s="19">
        <v>1273</v>
      </c>
      <c r="G424" s="19">
        <v>1055</v>
      </c>
      <c r="H424" s="19">
        <v>1332</v>
      </c>
      <c r="I424" s="19">
        <v>1144</v>
      </c>
      <c r="J424" s="19">
        <v>1213</v>
      </c>
      <c r="K424" s="19">
        <v>1142</v>
      </c>
      <c r="L424" s="19">
        <v>1136</v>
      </c>
      <c r="M424" s="19">
        <v>1128</v>
      </c>
      <c r="N424" s="19"/>
      <c r="O424" s="20">
        <v>1260</v>
      </c>
      <c r="P424" s="1"/>
      <c r="Q424" s="1"/>
    </row>
    <row r="425" spans="1:17" x14ac:dyDescent="0.2">
      <c r="A425" s="22">
        <v>38443</v>
      </c>
      <c r="B425" s="18">
        <v>1264</v>
      </c>
      <c r="C425" s="19">
        <v>1545</v>
      </c>
      <c r="D425" s="19">
        <v>1251</v>
      </c>
      <c r="E425" s="19">
        <v>1129</v>
      </c>
      <c r="F425" s="19">
        <v>1273</v>
      </c>
      <c r="G425" s="19">
        <v>1062</v>
      </c>
      <c r="H425" s="19">
        <v>1334</v>
      </c>
      <c r="I425" s="19">
        <v>1147</v>
      </c>
      <c r="J425" s="19">
        <v>1222</v>
      </c>
      <c r="K425" s="19">
        <v>1147</v>
      </c>
      <c r="L425" s="19">
        <v>1144</v>
      </c>
      <c r="M425" s="19">
        <v>1136</v>
      </c>
      <c r="N425" s="19"/>
      <c r="O425" s="20">
        <v>1260</v>
      </c>
      <c r="P425" s="1"/>
      <c r="Q425" s="1"/>
    </row>
    <row r="426" spans="1:17" x14ac:dyDescent="0.2">
      <c r="A426" s="22">
        <v>38473</v>
      </c>
      <c r="B426" s="18">
        <v>1256</v>
      </c>
      <c r="C426" s="19">
        <v>1545</v>
      </c>
      <c r="D426" s="19">
        <v>1242</v>
      </c>
      <c r="E426" s="19">
        <v>1133</v>
      </c>
      <c r="F426" s="19">
        <v>1270</v>
      </c>
      <c r="G426" s="19">
        <v>1082</v>
      </c>
      <c r="H426" s="19">
        <v>1335</v>
      </c>
      <c r="I426" s="19">
        <v>1149</v>
      </c>
      <c r="J426" s="19">
        <v>1215</v>
      </c>
      <c r="K426" s="19">
        <v>1150</v>
      </c>
      <c r="L426" s="19">
        <v>1146</v>
      </c>
      <c r="M426" s="19">
        <v>1140</v>
      </c>
      <c r="N426" s="19"/>
      <c r="O426" s="20">
        <v>1260</v>
      </c>
      <c r="P426" s="1"/>
      <c r="Q426" s="1"/>
    </row>
    <row r="427" spans="1:17" x14ac:dyDescent="0.2">
      <c r="A427" s="22">
        <v>38504</v>
      </c>
      <c r="B427" s="18">
        <v>1263</v>
      </c>
      <c r="C427" s="19">
        <v>1545</v>
      </c>
      <c r="D427" s="19">
        <v>1243</v>
      </c>
      <c r="E427" s="19">
        <v>1124</v>
      </c>
      <c r="F427" s="19">
        <v>1266</v>
      </c>
      <c r="G427" s="19">
        <v>1081</v>
      </c>
      <c r="H427" s="19">
        <v>1330</v>
      </c>
      <c r="I427" s="19">
        <v>1149</v>
      </c>
      <c r="J427" s="19">
        <v>1212</v>
      </c>
      <c r="K427" s="19">
        <v>1145</v>
      </c>
      <c r="L427" s="19">
        <v>1144</v>
      </c>
      <c r="M427" s="19">
        <v>1137</v>
      </c>
      <c r="N427" s="19"/>
      <c r="O427" s="20">
        <v>1250</v>
      </c>
      <c r="P427" s="1"/>
      <c r="Q427" s="1"/>
    </row>
    <row r="428" spans="1:17" x14ac:dyDescent="0.2">
      <c r="A428" s="22">
        <v>38534</v>
      </c>
      <c r="B428" s="18">
        <v>1263</v>
      </c>
      <c r="C428" s="19">
        <v>1542</v>
      </c>
      <c r="D428" s="19">
        <v>1239</v>
      </c>
      <c r="E428" s="19">
        <v>1124</v>
      </c>
      <c r="F428" s="19">
        <v>1272</v>
      </c>
      <c r="G428" s="19">
        <v>1062</v>
      </c>
      <c r="H428" s="19">
        <v>1340</v>
      </c>
      <c r="I428" s="19">
        <v>1142</v>
      </c>
      <c r="J428" s="19">
        <v>1216</v>
      </c>
      <c r="K428" s="19">
        <v>1143</v>
      </c>
      <c r="L428" s="19">
        <v>1143</v>
      </c>
      <c r="M428" s="19">
        <v>1129</v>
      </c>
      <c r="N428" s="19"/>
      <c r="O428" s="20">
        <v>1247</v>
      </c>
      <c r="P428" s="1"/>
      <c r="Q428" s="1"/>
    </row>
    <row r="429" spans="1:17" x14ac:dyDescent="0.2">
      <c r="A429" s="22">
        <v>38565</v>
      </c>
      <c r="B429" s="18">
        <v>1255</v>
      </c>
      <c r="C429" s="19">
        <v>1545</v>
      </c>
      <c r="D429" s="19">
        <v>1253</v>
      </c>
      <c r="E429" s="19">
        <v>1115</v>
      </c>
      <c r="F429" s="19">
        <v>1273</v>
      </c>
      <c r="G429" s="19">
        <v>1083</v>
      </c>
      <c r="H429" s="19">
        <v>1337</v>
      </c>
      <c r="I429" s="19">
        <v>1135</v>
      </c>
      <c r="J429" s="19">
        <v>1214</v>
      </c>
      <c r="K429" s="19">
        <v>1146</v>
      </c>
      <c r="L429" s="19">
        <v>1147</v>
      </c>
      <c r="M429" s="19">
        <v>1121</v>
      </c>
      <c r="N429" s="19"/>
      <c r="O429" s="20">
        <v>1256</v>
      </c>
      <c r="P429" s="1"/>
      <c r="Q429" s="1"/>
    </row>
    <row r="430" spans="1:17" x14ac:dyDescent="0.2">
      <c r="A430" s="22">
        <v>38596</v>
      </c>
      <c r="B430" s="18">
        <v>1260</v>
      </c>
      <c r="C430" s="19">
        <v>1545</v>
      </c>
      <c r="D430" s="19">
        <v>1246</v>
      </c>
      <c r="E430" s="19">
        <v>1118</v>
      </c>
      <c r="F430" s="19">
        <v>1280</v>
      </c>
      <c r="G430" s="19">
        <v>1081</v>
      </c>
      <c r="H430" s="19">
        <v>1339</v>
      </c>
      <c r="I430" s="19">
        <v>1143</v>
      </c>
      <c r="J430" s="19">
        <v>1215</v>
      </c>
      <c r="K430" s="19">
        <v>1141</v>
      </c>
      <c r="L430" s="19">
        <v>1143</v>
      </c>
      <c r="M430" s="19">
        <v>1107</v>
      </c>
      <c r="N430" s="19"/>
      <c r="O430" s="20">
        <v>1253</v>
      </c>
      <c r="P430" s="1"/>
      <c r="Q430" s="1"/>
    </row>
    <row r="431" spans="1:17" x14ac:dyDescent="0.2">
      <c r="A431" s="22">
        <v>38626</v>
      </c>
      <c r="B431" s="18">
        <v>1263</v>
      </c>
      <c r="C431" s="19">
        <v>1545</v>
      </c>
      <c r="D431" s="19">
        <v>1247</v>
      </c>
      <c r="E431" s="19">
        <v>1125</v>
      </c>
      <c r="F431" s="19">
        <v>1277</v>
      </c>
      <c r="G431" s="19">
        <v>1071</v>
      </c>
      <c r="H431" s="19">
        <v>1343</v>
      </c>
      <c r="I431" s="19">
        <v>1160</v>
      </c>
      <c r="J431" s="19">
        <v>1215</v>
      </c>
      <c r="K431" s="19">
        <v>1141</v>
      </c>
      <c r="L431" s="19">
        <v>1142</v>
      </c>
      <c r="M431" s="19">
        <v>1130</v>
      </c>
      <c r="N431" s="19"/>
      <c r="O431" s="20">
        <v>1262</v>
      </c>
      <c r="P431" s="1"/>
      <c r="Q431" s="1"/>
    </row>
    <row r="432" spans="1:17" x14ac:dyDescent="0.2">
      <c r="A432" s="22">
        <v>38657</v>
      </c>
      <c r="B432" s="18">
        <v>1261</v>
      </c>
      <c r="C432" s="19">
        <v>1542</v>
      </c>
      <c r="D432" s="19">
        <v>1244</v>
      </c>
      <c r="E432" s="19">
        <v>1124</v>
      </c>
      <c r="F432" s="19">
        <v>1278</v>
      </c>
      <c r="G432" s="19">
        <v>1079</v>
      </c>
      <c r="H432" s="19">
        <v>1337</v>
      </c>
      <c r="I432" s="19">
        <v>1137</v>
      </c>
      <c r="J432" s="19">
        <v>1221</v>
      </c>
      <c r="K432" s="19">
        <v>1145</v>
      </c>
      <c r="L432" s="19">
        <v>1144</v>
      </c>
      <c r="M432" s="19">
        <v>1121</v>
      </c>
      <c r="N432" s="19"/>
      <c r="O432" s="20">
        <v>1253</v>
      </c>
      <c r="P432" s="1"/>
      <c r="Q432" s="1"/>
    </row>
    <row r="433" spans="1:28" x14ac:dyDescent="0.2">
      <c r="A433" s="22">
        <v>38687</v>
      </c>
      <c r="B433" s="18">
        <v>1261</v>
      </c>
      <c r="C433" s="19">
        <v>1542</v>
      </c>
      <c r="D433" s="19">
        <v>1252</v>
      </c>
      <c r="E433" s="19">
        <v>1121</v>
      </c>
      <c r="F433" s="19">
        <v>1279</v>
      </c>
      <c r="G433" s="19">
        <v>1077</v>
      </c>
      <c r="H433" s="19">
        <v>1339</v>
      </c>
      <c r="I433" s="19">
        <v>1141</v>
      </c>
      <c r="J433" s="19">
        <v>1220</v>
      </c>
      <c r="K433" s="19">
        <v>1139</v>
      </c>
      <c r="L433" s="19">
        <v>1143</v>
      </c>
      <c r="M433" s="19">
        <v>1128</v>
      </c>
      <c r="N433" s="19"/>
      <c r="O433" s="20">
        <v>1257</v>
      </c>
    </row>
    <row r="434" spans="1:28" x14ac:dyDescent="0.2">
      <c r="A434" s="22">
        <v>38718</v>
      </c>
      <c r="B434" s="18">
        <v>1262</v>
      </c>
      <c r="C434" s="19">
        <v>1542</v>
      </c>
      <c r="D434" s="19">
        <v>1256</v>
      </c>
      <c r="E434" s="19">
        <v>1120</v>
      </c>
      <c r="F434" s="19">
        <v>1280</v>
      </c>
      <c r="G434" s="19">
        <v>1078</v>
      </c>
      <c r="H434" s="19">
        <v>1338</v>
      </c>
      <c r="I434" s="19">
        <v>1140</v>
      </c>
      <c r="J434" s="19">
        <v>1219</v>
      </c>
      <c r="K434" s="19">
        <v>1138</v>
      </c>
      <c r="L434" s="19">
        <v>1141</v>
      </c>
      <c r="M434" s="19">
        <v>1132</v>
      </c>
      <c r="N434" s="19"/>
      <c r="O434" s="20">
        <v>1257</v>
      </c>
    </row>
    <row r="435" spans="1:28" x14ac:dyDescent="0.2">
      <c r="A435" s="22">
        <v>38749</v>
      </c>
      <c r="B435" s="18">
        <v>1277</v>
      </c>
      <c r="C435" s="19">
        <v>1541</v>
      </c>
      <c r="D435" s="19">
        <v>1258</v>
      </c>
      <c r="E435" s="19">
        <v>1129</v>
      </c>
      <c r="F435" s="19">
        <v>1291</v>
      </c>
      <c r="G435" s="19">
        <v>1057</v>
      </c>
      <c r="H435" s="19">
        <v>1352</v>
      </c>
      <c r="I435" s="19">
        <v>1141</v>
      </c>
      <c r="J435" s="19">
        <v>1215</v>
      </c>
      <c r="K435" s="19">
        <v>1150</v>
      </c>
      <c r="L435" s="19">
        <v>1142</v>
      </c>
      <c r="M435" s="19">
        <v>1130</v>
      </c>
      <c r="N435" s="19"/>
      <c r="O435" s="20">
        <v>1276</v>
      </c>
    </row>
    <row r="436" spans="1:28" x14ac:dyDescent="0.2">
      <c r="A436" s="22">
        <v>38777</v>
      </c>
      <c r="B436" s="18">
        <v>1285</v>
      </c>
      <c r="C436" s="19">
        <v>1540</v>
      </c>
      <c r="D436" s="19">
        <v>1263</v>
      </c>
      <c r="E436" s="19">
        <v>1120</v>
      </c>
      <c r="F436" s="19">
        <v>1296</v>
      </c>
      <c r="G436" s="19">
        <v>1058</v>
      </c>
      <c r="H436" s="19">
        <v>1359</v>
      </c>
      <c r="I436" s="19">
        <v>1143</v>
      </c>
      <c r="J436" s="19">
        <v>1221</v>
      </c>
      <c r="K436" s="19">
        <v>1142</v>
      </c>
      <c r="L436" s="19">
        <v>1144</v>
      </c>
      <c r="M436" s="19">
        <v>1128</v>
      </c>
      <c r="N436" s="19"/>
      <c r="O436" s="20"/>
    </row>
    <row r="437" spans="1:28" x14ac:dyDescent="0.2">
      <c r="A437" s="22">
        <v>38808</v>
      </c>
      <c r="B437" s="18">
        <v>1296</v>
      </c>
      <c r="C437" s="19">
        <v>1540</v>
      </c>
      <c r="D437" s="19">
        <v>1259</v>
      </c>
      <c r="E437" s="19">
        <v>1127</v>
      </c>
      <c r="F437" s="19">
        <v>1302</v>
      </c>
      <c r="G437" s="19">
        <v>1062</v>
      </c>
      <c r="H437" s="19">
        <v>1364</v>
      </c>
      <c r="I437" s="19">
        <v>1142</v>
      </c>
      <c r="J437" s="19">
        <v>1219</v>
      </c>
      <c r="K437" s="19">
        <v>1144</v>
      </c>
      <c r="L437" s="19">
        <v>1143</v>
      </c>
      <c r="M437" s="19">
        <v>1130</v>
      </c>
      <c r="N437" s="19"/>
      <c r="O437" s="20"/>
    </row>
    <row r="438" spans="1:28" x14ac:dyDescent="0.2">
      <c r="A438" s="22">
        <v>38838</v>
      </c>
      <c r="B438" s="18">
        <v>1289</v>
      </c>
      <c r="C438" s="19">
        <v>1540</v>
      </c>
      <c r="D438" s="19">
        <v>1274</v>
      </c>
      <c r="E438" s="19">
        <v>1124</v>
      </c>
      <c r="F438" s="19">
        <v>1300</v>
      </c>
      <c r="G438" s="19">
        <v>1067</v>
      </c>
      <c r="H438" s="19">
        <v>1356</v>
      </c>
      <c r="I438" s="19">
        <v>1147</v>
      </c>
      <c r="J438" s="19">
        <v>1217</v>
      </c>
      <c r="K438" s="19">
        <v>1154</v>
      </c>
      <c r="L438" s="19">
        <v>1152</v>
      </c>
      <c r="M438" s="19">
        <v>1136</v>
      </c>
      <c r="N438" s="19"/>
      <c r="O438" s="20"/>
    </row>
    <row r="439" spans="1:28" x14ac:dyDescent="0.2">
      <c r="A439" s="22">
        <v>38869</v>
      </c>
      <c r="B439" s="18">
        <v>1290</v>
      </c>
      <c r="C439" s="19">
        <v>1540</v>
      </c>
      <c r="D439" s="19">
        <v>1281</v>
      </c>
      <c r="E439" s="19">
        <v>1129</v>
      </c>
      <c r="F439" s="19">
        <v>1302</v>
      </c>
      <c r="G439" s="19">
        <v>1068</v>
      </c>
      <c r="H439" s="19">
        <v>1357</v>
      </c>
      <c r="I439" s="19">
        <v>1147</v>
      </c>
      <c r="J439" s="19">
        <v>1218</v>
      </c>
      <c r="K439" s="19">
        <v>1156</v>
      </c>
      <c r="L439" s="19">
        <v>1162</v>
      </c>
      <c r="M439" s="19">
        <v>1144</v>
      </c>
      <c r="N439" s="19"/>
      <c r="O439" s="20"/>
    </row>
    <row r="440" spans="1:28" x14ac:dyDescent="0.2">
      <c r="A440" s="22">
        <v>38899</v>
      </c>
      <c r="B440" s="18">
        <v>1288</v>
      </c>
      <c r="C440" s="19">
        <v>1539</v>
      </c>
      <c r="D440" s="19">
        <v>1279</v>
      </c>
      <c r="E440" s="19">
        <v>1126</v>
      </c>
      <c r="F440" s="19">
        <v>1300</v>
      </c>
      <c r="G440" s="19">
        <v>1067</v>
      </c>
      <c r="H440" s="19">
        <v>1350</v>
      </c>
      <c r="I440" s="19">
        <v>1143</v>
      </c>
      <c r="J440" s="19">
        <v>1217</v>
      </c>
      <c r="K440" s="19">
        <v>1154</v>
      </c>
      <c r="L440" s="19">
        <v>1161</v>
      </c>
      <c r="M440" s="19">
        <v>1149</v>
      </c>
      <c r="N440" s="19"/>
      <c r="O440" s="20"/>
    </row>
    <row r="441" spans="1:28" x14ac:dyDescent="0.2">
      <c r="A441" s="22">
        <v>38930</v>
      </c>
      <c r="B441" s="18">
        <v>1290</v>
      </c>
      <c r="C441" s="19">
        <v>1539</v>
      </c>
      <c r="D441" s="19">
        <v>1281</v>
      </c>
      <c r="E441" s="19">
        <v>1149</v>
      </c>
      <c r="F441" s="19">
        <v>1301</v>
      </c>
      <c r="G441" s="19">
        <v>1068</v>
      </c>
      <c r="H441" s="19">
        <v>1360</v>
      </c>
      <c r="I441" s="19">
        <v>1171</v>
      </c>
      <c r="J441" s="19">
        <v>1244</v>
      </c>
      <c r="K441" s="19">
        <v>1169</v>
      </c>
      <c r="L441" s="19">
        <v>1152</v>
      </c>
      <c r="M441" s="19">
        <v>1156</v>
      </c>
      <c r="N441" s="19"/>
      <c r="O441" s="20"/>
    </row>
    <row r="442" spans="1:28" x14ac:dyDescent="0.2">
      <c r="A442" s="22">
        <v>38961</v>
      </c>
      <c r="B442" s="18">
        <v>1288</v>
      </c>
      <c r="C442" s="19">
        <v>1539</v>
      </c>
      <c r="D442" s="19">
        <v>1289</v>
      </c>
      <c r="E442" s="19">
        <v>1153</v>
      </c>
      <c r="F442" s="19">
        <v>1307</v>
      </c>
      <c r="G442" s="19">
        <v>1068</v>
      </c>
      <c r="H442" s="19">
        <v>1356</v>
      </c>
      <c r="I442" s="19">
        <v>1167</v>
      </c>
      <c r="J442" s="19">
        <v>1247</v>
      </c>
      <c r="K442" s="19">
        <v>1175</v>
      </c>
      <c r="L442" s="19">
        <v>1159</v>
      </c>
      <c r="M442" s="19">
        <v>1153</v>
      </c>
      <c r="N442" s="19"/>
      <c r="O442" s="20"/>
    </row>
    <row r="443" spans="1:28" x14ac:dyDescent="0.2">
      <c r="A443" s="22">
        <v>38991</v>
      </c>
      <c r="B443" s="18">
        <v>1289</v>
      </c>
      <c r="C443" s="19">
        <v>1538</v>
      </c>
      <c r="D443" s="19">
        <v>1285</v>
      </c>
      <c r="E443" s="19">
        <v>1151</v>
      </c>
      <c r="F443" s="19">
        <v>1300</v>
      </c>
      <c r="G443" s="19">
        <v>1067</v>
      </c>
      <c r="H443" s="19">
        <v>1356</v>
      </c>
      <c r="I443" s="19">
        <v>1171</v>
      </c>
      <c r="J443" s="19">
        <v>1243</v>
      </c>
      <c r="K443" s="19">
        <v>1169</v>
      </c>
      <c r="L443" s="19">
        <v>1156</v>
      </c>
      <c r="M443" s="19">
        <v>1159</v>
      </c>
      <c r="N443" s="19"/>
      <c r="O443" s="20"/>
    </row>
    <row r="444" spans="1:28" x14ac:dyDescent="0.2">
      <c r="A444" s="22">
        <v>39022</v>
      </c>
      <c r="B444" s="18">
        <v>1290</v>
      </c>
      <c r="C444" s="19">
        <v>1538</v>
      </c>
      <c r="D444" s="19">
        <v>1284</v>
      </c>
      <c r="E444" s="19">
        <v>1152</v>
      </c>
      <c r="F444" s="19">
        <v>1302</v>
      </c>
      <c r="G444" s="19">
        <v>1067</v>
      </c>
      <c r="H444" s="19">
        <v>1357</v>
      </c>
      <c r="I444" s="19">
        <v>1172</v>
      </c>
      <c r="J444" s="19">
        <v>1241</v>
      </c>
      <c r="K444" s="19">
        <v>1168</v>
      </c>
      <c r="L444" s="19">
        <v>1156</v>
      </c>
      <c r="M444" s="19">
        <v>1157</v>
      </c>
      <c r="N444" s="19"/>
      <c r="O444" s="20"/>
    </row>
    <row r="445" spans="1:28" x14ac:dyDescent="0.2">
      <c r="A445" s="22">
        <v>39052</v>
      </c>
      <c r="B445" s="18">
        <v>1300</v>
      </c>
      <c r="C445" s="19">
        <v>1537</v>
      </c>
      <c r="D445" s="19">
        <v>1289</v>
      </c>
      <c r="E445" s="19">
        <v>1152</v>
      </c>
      <c r="F445" s="19">
        <v>1307</v>
      </c>
      <c r="G445" s="19">
        <v>1063</v>
      </c>
      <c r="H445" s="19">
        <v>1360</v>
      </c>
      <c r="I445" s="19">
        <v>1169</v>
      </c>
      <c r="J445" s="19">
        <v>1242</v>
      </c>
      <c r="K445" s="19">
        <v>1165</v>
      </c>
      <c r="L445" s="19">
        <v>1155</v>
      </c>
      <c r="M445" s="19">
        <v>1156</v>
      </c>
      <c r="N445" s="19"/>
      <c r="O445" s="20"/>
      <c r="P445" s="30"/>
      <c r="Q445" s="30"/>
      <c r="R445" s="30"/>
      <c r="S445" s="30"/>
      <c r="T445" s="30"/>
      <c r="U445" s="31"/>
      <c r="V445" s="30"/>
      <c r="W445" s="31"/>
      <c r="X445" s="30"/>
      <c r="Y445" s="31"/>
      <c r="Z445" s="30"/>
      <c r="AA445" s="31"/>
      <c r="AB445" s="30"/>
    </row>
    <row r="446" spans="1:28" x14ac:dyDescent="0.2">
      <c r="A446" s="22">
        <v>39083</v>
      </c>
      <c r="B446" s="18">
        <v>1300</v>
      </c>
      <c r="C446" s="19">
        <v>1537</v>
      </c>
      <c r="D446" s="19">
        <v>1287</v>
      </c>
      <c r="E446" s="19">
        <v>1148</v>
      </c>
      <c r="F446" s="19">
        <v>1300</v>
      </c>
      <c r="G446" s="19">
        <v>1065</v>
      </c>
      <c r="H446" s="19">
        <v>1358</v>
      </c>
      <c r="I446" s="19">
        <v>1171</v>
      </c>
      <c r="J446" s="19">
        <v>1244</v>
      </c>
      <c r="K446" s="19">
        <v>1169</v>
      </c>
      <c r="L446" s="19">
        <v>1159</v>
      </c>
      <c r="M446" s="19">
        <v>1156</v>
      </c>
      <c r="N446" s="19"/>
      <c r="O446" s="20"/>
      <c r="P446" s="30"/>
      <c r="Q446" s="30"/>
      <c r="R446" s="30"/>
      <c r="S446" s="30"/>
      <c r="T446" s="30"/>
      <c r="U446" s="31"/>
      <c r="V446" s="30"/>
      <c r="W446" s="31"/>
      <c r="X446" s="30"/>
      <c r="Y446" s="31"/>
      <c r="Z446" s="30"/>
      <c r="AA446" s="31"/>
      <c r="AB446" s="30"/>
    </row>
    <row r="447" spans="1:28" x14ac:dyDescent="0.2">
      <c r="A447" s="22">
        <v>39114</v>
      </c>
      <c r="B447" s="18">
        <v>1298</v>
      </c>
      <c r="C447" s="19">
        <v>1538</v>
      </c>
      <c r="D447" s="19">
        <v>1286</v>
      </c>
      <c r="E447" s="19">
        <v>1144</v>
      </c>
      <c r="F447" s="19">
        <v>1306</v>
      </c>
      <c r="G447" s="19">
        <v>1063</v>
      </c>
      <c r="H447" s="19">
        <v>1358</v>
      </c>
      <c r="I447" s="19">
        <v>1166</v>
      </c>
      <c r="J447" s="19">
        <v>1246</v>
      </c>
      <c r="K447" s="19">
        <v>1163</v>
      </c>
      <c r="L447" s="19">
        <v>1165</v>
      </c>
      <c r="M447" s="19">
        <v>1154</v>
      </c>
      <c r="N447" s="19"/>
      <c r="O447" s="20"/>
      <c r="P447" s="30"/>
      <c r="Q447" s="30"/>
      <c r="R447" s="30"/>
      <c r="S447" s="30"/>
      <c r="T447" s="30"/>
      <c r="U447" s="31"/>
      <c r="V447" s="30"/>
      <c r="W447" s="31"/>
      <c r="X447" s="30"/>
      <c r="Y447" s="31"/>
      <c r="Z447" s="30"/>
      <c r="AA447" s="31"/>
      <c r="AB447" s="30"/>
    </row>
    <row r="448" spans="1:28" x14ac:dyDescent="0.2">
      <c r="A448" s="22">
        <v>39142</v>
      </c>
      <c r="B448" s="18">
        <v>1300</v>
      </c>
      <c r="C448" s="19">
        <v>1537</v>
      </c>
      <c r="D448" s="19">
        <v>1284</v>
      </c>
      <c r="E448" s="19">
        <v>1145</v>
      </c>
      <c r="F448" s="19">
        <v>1296</v>
      </c>
      <c r="G448" s="19">
        <v>1063</v>
      </c>
      <c r="H448" s="19">
        <v>1359</v>
      </c>
      <c r="I448" s="19">
        <v>1167</v>
      </c>
      <c r="J448" s="19">
        <v>1237</v>
      </c>
      <c r="K448" s="19">
        <v>1171</v>
      </c>
      <c r="L448" s="19">
        <v>1157</v>
      </c>
      <c r="M448" s="19">
        <v>1150</v>
      </c>
      <c r="N448" s="19"/>
      <c r="O448" s="20"/>
      <c r="P448" s="30"/>
      <c r="Q448" s="30"/>
      <c r="R448" s="30"/>
      <c r="S448" s="30"/>
      <c r="T448" s="30"/>
      <c r="U448" s="31"/>
      <c r="V448" s="30"/>
      <c r="W448" s="31"/>
      <c r="X448" s="30"/>
      <c r="Y448" s="31"/>
      <c r="Z448" s="30"/>
      <c r="AA448" s="31"/>
      <c r="AB448" s="30"/>
    </row>
    <row r="449" spans="1:28" x14ac:dyDescent="0.2">
      <c r="A449" s="22">
        <v>39173</v>
      </c>
      <c r="B449" s="18">
        <v>1296</v>
      </c>
      <c r="C449" s="19">
        <v>1538</v>
      </c>
      <c r="D449" s="19">
        <v>1283</v>
      </c>
      <c r="E449" s="19">
        <v>1144</v>
      </c>
      <c r="F449" s="19">
        <v>1302</v>
      </c>
      <c r="G449" s="19">
        <v>1062</v>
      </c>
      <c r="H449" s="19">
        <v>1360</v>
      </c>
      <c r="I449" s="19">
        <v>1168</v>
      </c>
      <c r="J449" s="19">
        <v>1240</v>
      </c>
      <c r="K449" s="19">
        <v>1170</v>
      </c>
      <c r="L449" s="19">
        <v>1156</v>
      </c>
      <c r="M449" s="19">
        <v>1150</v>
      </c>
      <c r="N449" s="19"/>
      <c r="O449" s="20"/>
      <c r="P449" s="30"/>
      <c r="Q449" s="30"/>
      <c r="R449" s="30"/>
      <c r="S449" s="30"/>
      <c r="T449" s="30"/>
      <c r="U449" s="31"/>
      <c r="V449" s="30"/>
      <c r="W449" s="31"/>
      <c r="X449" s="30"/>
      <c r="Y449" s="31"/>
      <c r="Z449" s="30"/>
      <c r="AA449" s="31"/>
      <c r="AB449" s="30"/>
    </row>
    <row r="450" spans="1:28" x14ac:dyDescent="0.2">
      <c r="A450" s="22">
        <v>39203</v>
      </c>
      <c r="B450" s="18">
        <v>1294</v>
      </c>
      <c r="C450" s="19">
        <v>1537</v>
      </c>
      <c r="D450" s="19">
        <v>1280</v>
      </c>
      <c r="E450" s="19">
        <v>1147</v>
      </c>
      <c r="F450" s="19">
        <v>1303</v>
      </c>
      <c r="G450" s="19">
        <v>1060</v>
      </c>
      <c r="H450" s="19">
        <v>1357</v>
      </c>
      <c r="I450" s="19">
        <v>1169</v>
      </c>
      <c r="J450" s="19">
        <v>1243</v>
      </c>
      <c r="K450" s="19">
        <v>1162</v>
      </c>
      <c r="L450" s="19">
        <v>1158</v>
      </c>
      <c r="M450" s="19">
        <v>1151</v>
      </c>
      <c r="N450" s="19"/>
      <c r="O450" s="20"/>
      <c r="P450" s="30"/>
      <c r="Q450" s="30"/>
      <c r="R450" s="30"/>
      <c r="S450" s="30"/>
      <c r="T450" s="30"/>
      <c r="U450" s="31"/>
      <c r="V450" s="30"/>
      <c r="W450" s="31"/>
      <c r="X450" s="30"/>
      <c r="Y450" s="31"/>
      <c r="Z450" s="30"/>
      <c r="AA450" s="31"/>
      <c r="AB450" s="30"/>
    </row>
    <row r="451" spans="1:28" x14ac:dyDescent="0.2">
      <c r="A451" s="22">
        <v>39234</v>
      </c>
      <c r="B451" s="18">
        <v>1289</v>
      </c>
      <c r="C451" s="19">
        <v>1538</v>
      </c>
      <c r="D451" s="19">
        <v>1272</v>
      </c>
      <c r="E451" s="19">
        <v>1146</v>
      </c>
      <c r="F451" s="19">
        <v>1302</v>
      </c>
      <c r="G451" s="19">
        <v>1061</v>
      </c>
      <c r="H451" s="19">
        <v>1359</v>
      </c>
      <c r="I451" s="19">
        <v>1164</v>
      </c>
      <c r="J451" s="19">
        <v>1242</v>
      </c>
      <c r="K451" s="19">
        <v>1163</v>
      </c>
      <c r="L451" s="19">
        <v>1156</v>
      </c>
      <c r="M451" s="19">
        <v>1150</v>
      </c>
      <c r="N451" s="19"/>
      <c r="O451" s="20"/>
      <c r="P451" s="30"/>
      <c r="Q451" s="30"/>
      <c r="R451" s="30"/>
      <c r="S451" s="30"/>
      <c r="T451" s="30"/>
      <c r="U451" s="31"/>
      <c r="V451" s="30"/>
      <c r="W451" s="31"/>
      <c r="X451" s="30"/>
      <c r="Y451" s="31"/>
      <c r="Z451" s="30"/>
      <c r="AA451" s="31"/>
      <c r="AB451" s="30"/>
    </row>
    <row r="452" spans="1:28" x14ac:dyDescent="0.2">
      <c r="A452" s="22">
        <v>39264</v>
      </c>
      <c r="B452" s="18">
        <v>1291</v>
      </c>
      <c r="C452" s="19">
        <v>1534</v>
      </c>
      <c r="D452" s="19">
        <v>1282</v>
      </c>
      <c r="E452" s="19">
        <v>1152</v>
      </c>
      <c r="F452" s="19">
        <v>1297</v>
      </c>
      <c r="G452" s="19">
        <v>1060</v>
      </c>
      <c r="H452" s="19">
        <v>1354</v>
      </c>
      <c r="I452" s="19">
        <v>1172</v>
      </c>
      <c r="J452" s="19">
        <v>1240</v>
      </c>
      <c r="K452" s="19">
        <v>1171</v>
      </c>
      <c r="L452" s="19">
        <v>1157</v>
      </c>
      <c r="M452" s="19">
        <v>1160</v>
      </c>
      <c r="N452" s="19"/>
      <c r="O452" s="20"/>
      <c r="P452" s="30"/>
      <c r="Q452" s="30"/>
      <c r="R452" s="30"/>
      <c r="S452" s="30"/>
      <c r="T452" s="30"/>
      <c r="U452" s="31"/>
      <c r="V452" s="30"/>
      <c r="W452" s="31"/>
      <c r="X452" s="30"/>
      <c r="Y452" s="31"/>
      <c r="Z452" s="30"/>
      <c r="AA452" s="31"/>
      <c r="AB452" s="30"/>
    </row>
    <row r="453" spans="1:28" x14ac:dyDescent="0.2">
      <c r="A453" s="22">
        <v>39295</v>
      </c>
      <c r="B453" s="18">
        <v>1292</v>
      </c>
      <c r="C453" s="19">
        <v>1533</v>
      </c>
      <c r="D453" s="19">
        <v>1282</v>
      </c>
      <c r="E453" s="19">
        <v>1144</v>
      </c>
      <c r="F453" s="19">
        <v>1300</v>
      </c>
      <c r="G453" s="19">
        <v>1059</v>
      </c>
      <c r="H453" s="19">
        <v>1352</v>
      </c>
      <c r="I453" s="19">
        <v>1162</v>
      </c>
      <c r="J453" s="19">
        <v>1242</v>
      </c>
      <c r="K453" s="19">
        <v>1165</v>
      </c>
      <c r="L453" s="19">
        <v>1154</v>
      </c>
      <c r="M453" s="19">
        <v>1148</v>
      </c>
      <c r="N453" s="19"/>
      <c r="O453" s="20"/>
      <c r="P453" s="30"/>
      <c r="Q453" s="30"/>
      <c r="R453" s="30"/>
      <c r="S453" s="30"/>
      <c r="T453" s="30"/>
      <c r="U453" s="31"/>
      <c r="V453" s="30"/>
      <c r="W453" s="31"/>
      <c r="X453" s="30"/>
      <c r="Y453" s="31"/>
      <c r="Z453" s="30"/>
      <c r="AA453" s="31"/>
      <c r="AB453" s="30"/>
    </row>
    <row r="454" spans="1:28" x14ac:dyDescent="0.2">
      <c r="A454" s="22">
        <v>39326</v>
      </c>
      <c r="B454" s="18">
        <v>1286</v>
      </c>
      <c r="C454" s="19">
        <v>1533</v>
      </c>
      <c r="D454" s="19">
        <v>1283</v>
      </c>
      <c r="E454" s="19">
        <v>1140</v>
      </c>
      <c r="F454" s="19">
        <v>1291</v>
      </c>
      <c r="G454" s="19">
        <v>1061</v>
      </c>
      <c r="H454" s="19">
        <v>1351</v>
      </c>
      <c r="I454" s="19">
        <v>1164</v>
      </c>
      <c r="J454" s="19">
        <v>1242</v>
      </c>
      <c r="K454" s="19">
        <v>1164</v>
      </c>
      <c r="L454" s="19">
        <v>1154</v>
      </c>
      <c r="M454" s="19">
        <v>1147</v>
      </c>
      <c r="N454" s="19"/>
      <c r="O454" s="20"/>
      <c r="P454" s="30"/>
      <c r="Q454" s="30"/>
      <c r="R454" s="30"/>
      <c r="S454" s="30"/>
      <c r="T454" s="30"/>
      <c r="U454" s="31"/>
      <c r="V454" s="30"/>
      <c r="W454" s="31"/>
      <c r="X454" s="30"/>
      <c r="Y454" s="31"/>
      <c r="Z454" s="30"/>
      <c r="AA454" s="31"/>
      <c r="AB454" s="30"/>
    </row>
    <row r="455" spans="1:28" x14ac:dyDescent="0.2">
      <c r="A455" s="22">
        <v>39356</v>
      </c>
      <c r="B455" s="18">
        <v>1286</v>
      </c>
      <c r="C455" s="19">
        <v>1532</v>
      </c>
      <c r="D455" s="19">
        <v>1283</v>
      </c>
      <c r="E455" s="19">
        <v>1140</v>
      </c>
      <c r="F455" s="19">
        <v>1294</v>
      </c>
      <c r="G455" s="19">
        <v>1061</v>
      </c>
      <c r="H455" s="19">
        <v>1349</v>
      </c>
      <c r="I455" s="19">
        <v>1164</v>
      </c>
      <c r="J455" s="19">
        <v>1242</v>
      </c>
      <c r="K455" s="19">
        <v>1164</v>
      </c>
      <c r="L455" s="19">
        <v>1153</v>
      </c>
      <c r="M455" s="19">
        <v>1147</v>
      </c>
      <c r="N455" s="19"/>
      <c r="O455" s="20"/>
      <c r="P455" s="30"/>
      <c r="Q455" s="30"/>
      <c r="R455" s="30"/>
      <c r="S455" s="30"/>
      <c r="T455" s="30"/>
      <c r="U455" s="31"/>
      <c r="V455" s="30"/>
      <c r="W455" s="31"/>
      <c r="X455" s="30"/>
      <c r="Y455" s="31"/>
      <c r="Z455" s="30"/>
      <c r="AA455" s="31"/>
      <c r="AB455" s="30"/>
    </row>
    <row r="456" spans="1:28" x14ac:dyDescent="0.2">
      <c r="A456" s="22">
        <v>39387</v>
      </c>
      <c r="B456" s="18">
        <v>1281</v>
      </c>
      <c r="C456" s="19">
        <v>1531</v>
      </c>
      <c r="D456" s="19">
        <v>1270</v>
      </c>
      <c r="E456" s="19">
        <v>1136</v>
      </c>
      <c r="F456" s="19">
        <v>1291</v>
      </c>
      <c r="G456" s="19">
        <v>1058</v>
      </c>
      <c r="H456" s="19">
        <v>1347</v>
      </c>
      <c r="I456" s="19">
        <v>1161</v>
      </c>
      <c r="J456" s="19">
        <v>1234</v>
      </c>
      <c r="K456" s="19">
        <v>1161</v>
      </c>
      <c r="L456" s="19">
        <v>1152</v>
      </c>
      <c r="M456" s="19">
        <v>1144</v>
      </c>
      <c r="N456" s="19"/>
      <c r="O456" s="20"/>
      <c r="P456" s="30"/>
      <c r="Q456" s="30"/>
      <c r="R456" s="30"/>
      <c r="S456" s="30"/>
      <c r="T456" s="30"/>
      <c r="U456" s="31"/>
      <c r="V456" s="30"/>
      <c r="W456" s="31"/>
      <c r="X456" s="30"/>
      <c r="Y456" s="31"/>
      <c r="Z456" s="30"/>
      <c r="AA456" s="31"/>
      <c r="AB456" s="30"/>
    </row>
    <row r="457" spans="1:28" x14ac:dyDescent="0.2">
      <c r="A457" s="22">
        <v>39417</v>
      </c>
      <c r="B457" s="18">
        <v>1282</v>
      </c>
      <c r="C457" s="19">
        <v>1531</v>
      </c>
      <c r="D457" s="19">
        <v>1272</v>
      </c>
      <c r="E457" s="19">
        <v>1139</v>
      </c>
      <c r="F457" s="19">
        <v>1287</v>
      </c>
      <c r="G457" s="19">
        <v>1056</v>
      </c>
      <c r="H457" s="19">
        <v>1348</v>
      </c>
      <c r="I457" s="19">
        <v>1158</v>
      </c>
      <c r="J457" s="19">
        <v>1230</v>
      </c>
      <c r="K457" s="19">
        <v>1157</v>
      </c>
      <c r="L457" s="19">
        <v>1148</v>
      </c>
      <c r="M457" s="19">
        <v>1148</v>
      </c>
      <c r="N457" s="19"/>
      <c r="O457" s="20"/>
      <c r="P457" s="30"/>
      <c r="Q457" s="30"/>
      <c r="R457" s="30"/>
      <c r="S457" s="30"/>
      <c r="T457" s="30"/>
      <c r="U457" s="31"/>
      <c r="V457" s="30"/>
      <c r="W457" s="31"/>
      <c r="X457" s="30"/>
      <c r="Y457" s="31"/>
      <c r="Z457" s="30"/>
      <c r="AA457" s="31"/>
      <c r="AB457" s="30"/>
    </row>
    <row r="458" spans="1:28" x14ac:dyDescent="0.2">
      <c r="A458" s="22">
        <v>39448</v>
      </c>
      <c r="B458" s="18">
        <v>1285</v>
      </c>
      <c r="C458" s="19">
        <v>1531</v>
      </c>
      <c r="D458" s="19">
        <v>1268</v>
      </c>
      <c r="E458" s="19">
        <v>1144</v>
      </c>
      <c r="F458" s="19">
        <v>1299</v>
      </c>
      <c r="G458" s="19">
        <v>1056</v>
      </c>
      <c r="H458" s="19">
        <v>1350</v>
      </c>
      <c r="I458" s="19">
        <v>1162</v>
      </c>
      <c r="J458" s="19">
        <v>1228</v>
      </c>
      <c r="K458" s="19">
        <v>1162</v>
      </c>
      <c r="L458" s="19">
        <v>1150</v>
      </c>
      <c r="M458" s="19">
        <v>1152</v>
      </c>
      <c r="N458" s="19"/>
      <c r="O458" s="20"/>
      <c r="P458" s="30"/>
      <c r="Q458" s="30"/>
      <c r="R458" s="30"/>
      <c r="S458" s="30"/>
      <c r="T458" s="30"/>
      <c r="U458" s="31"/>
      <c r="V458" s="30"/>
      <c r="W458" s="31"/>
      <c r="X458" s="30"/>
      <c r="Y458" s="31"/>
      <c r="Z458" s="30"/>
      <c r="AA458" s="31"/>
      <c r="AB458" s="30"/>
    </row>
    <row r="459" spans="1:28" x14ac:dyDescent="0.2">
      <c r="A459" s="22">
        <v>39479</v>
      </c>
      <c r="B459" s="18">
        <v>1284</v>
      </c>
      <c r="C459" s="19">
        <v>1532</v>
      </c>
      <c r="D459" s="19">
        <v>1265</v>
      </c>
      <c r="E459" s="19">
        <v>1139</v>
      </c>
      <c r="F459" s="19">
        <v>1295</v>
      </c>
      <c r="G459" s="19">
        <v>1053</v>
      </c>
      <c r="H459" s="19">
        <v>1349</v>
      </c>
      <c r="I459" s="19">
        <v>1158</v>
      </c>
      <c r="J459" s="19">
        <v>1227</v>
      </c>
      <c r="K459" s="19">
        <v>1157</v>
      </c>
      <c r="L459" s="19">
        <v>1147</v>
      </c>
      <c r="M459" s="19">
        <v>1132</v>
      </c>
      <c r="N459" s="19"/>
      <c r="O459" s="20"/>
      <c r="P459" s="30"/>
      <c r="Q459" s="30"/>
      <c r="R459" s="30"/>
      <c r="S459" s="30"/>
      <c r="T459" s="30"/>
      <c r="U459" s="31"/>
      <c r="V459" s="30"/>
      <c r="W459" s="31"/>
      <c r="X459" s="30"/>
      <c r="Y459" s="31"/>
      <c r="Z459" s="30"/>
      <c r="AA459" s="31"/>
      <c r="AB459" s="30"/>
    </row>
    <row r="460" spans="1:28" x14ac:dyDescent="0.2">
      <c r="A460" s="22">
        <v>39508</v>
      </c>
      <c r="B460" s="18">
        <v>1278</v>
      </c>
      <c r="C460" s="19">
        <v>1533</v>
      </c>
      <c r="D460" s="19">
        <v>1261</v>
      </c>
      <c r="E460" s="19">
        <v>1138</v>
      </c>
      <c r="F460" s="19">
        <v>1290</v>
      </c>
      <c r="G460" s="19">
        <v>1056</v>
      </c>
      <c r="H460" s="19">
        <v>1346</v>
      </c>
      <c r="I460" s="19">
        <v>1155</v>
      </c>
      <c r="J460" s="19">
        <v>1224</v>
      </c>
      <c r="K460" s="19">
        <v>1155</v>
      </c>
      <c r="L460" s="19">
        <v>1152</v>
      </c>
      <c r="M460" s="19">
        <v>1144</v>
      </c>
      <c r="N460" s="19"/>
      <c r="O460" s="20"/>
      <c r="P460" s="30"/>
      <c r="Q460" s="30"/>
      <c r="R460" s="30"/>
      <c r="S460" s="30"/>
      <c r="T460" s="30"/>
      <c r="U460" s="31"/>
      <c r="V460" s="30"/>
      <c r="W460" s="31"/>
      <c r="X460" s="30"/>
      <c r="Y460" s="31"/>
      <c r="Z460" s="30"/>
      <c r="AA460" s="31"/>
      <c r="AB460" s="30"/>
    </row>
    <row r="461" spans="1:28" x14ac:dyDescent="0.2">
      <c r="A461" s="22">
        <v>39539</v>
      </c>
      <c r="B461" s="18">
        <v>1280</v>
      </c>
      <c r="C461" s="19">
        <v>1533</v>
      </c>
      <c r="D461" s="19">
        <v>1257</v>
      </c>
      <c r="E461" s="19">
        <v>1141</v>
      </c>
      <c r="F461" s="19">
        <v>1290</v>
      </c>
      <c r="G461" s="19">
        <v>1055</v>
      </c>
      <c r="H461" s="19">
        <v>1348</v>
      </c>
      <c r="I461" s="19">
        <v>1155</v>
      </c>
      <c r="J461" s="19">
        <v>1221</v>
      </c>
      <c r="K461" s="19">
        <v>1155</v>
      </c>
      <c r="L461" s="19">
        <v>1152</v>
      </c>
      <c r="M461" s="19">
        <v>1151</v>
      </c>
      <c r="N461" s="19"/>
      <c r="O461" s="20"/>
      <c r="P461" s="30"/>
      <c r="Q461" s="30"/>
      <c r="R461" s="30"/>
      <c r="S461" s="30"/>
      <c r="T461" s="30"/>
      <c r="U461" s="31"/>
      <c r="V461" s="30"/>
      <c r="W461" s="31"/>
      <c r="X461" s="30"/>
      <c r="Y461" s="31"/>
      <c r="Z461" s="30"/>
      <c r="AA461" s="31"/>
      <c r="AB461" s="30"/>
    </row>
    <row r="462" spans="1:28" x14ac:dyDescent="0.2">
      <c r="A462" s="22">
        <v>39569</v>
      </c>
      <c r="B462" s="18">
        <v>1276</v>
      </c>
      <c r="C462" s="19">
        <v>1533</v>
      </c>
      <c r="D462" s="19">
        <v>1270</v>
      </c>
      <c r="E462" s="19">
        <v>1129</v>
      </c>
      <c r="F462" s="19">
        <v>1290</v>
      </c>
      <c r="G462" s="19">
        <v>1055</v>
      </c>
      <c r="H462" s="19">
        <v>1350</v>
      </c>
      <c r="I462" s="19">
        <v>1147</v>
      </c>
      <c r="J462" s="19">
        <v>1233</v>
      </c>
      <c r="K462" s="19">
        <v>1145</v>
      </c>
      <c r="L462" s="19">
        <v>1146</v>
      </c>
      <c r="M462" s="19">
        <v>1142</v>
      </c>
      <c r="N462" s="19"/>
      <c r="O462" s="20"/>
      <c r="P462" s="30"/>
      <c r="Q462" s="30"/>
      <c r="R462" s="30"/>
      <c r="S462" s="30"/>
      <c r="T462" s="30"/>
      <c r="U462" s="31"/>
      <c r="V462" s="30"/>
      <c r="W462" s="31"/>
      <c r="X462" s="30"/>
      <c r="Y462" s="31"/>
      <c r="Z462" s="30"/>
      <c r="AA462" s="31"/>
      <c r="AB462" s="30"/>
    </row>
    <row r="463" spans="1:28" x14ac:dyDescent="0.2">
      <c r="A463" s="22">
        <v>39600</v>
      </c>
      <c r="B463" s="18">
        <v>1274</v>
      </c>
      <c r="C463" s="19">
        <v>1534</v>
      </c>
      <c r="D463" s="19">
        <v>1268</v>
      </c>
      <c r="E463" s="19">
        <v>1128</v>
      </c>
      <c r="F463" s="19">
        <v>1288</v>
      </c>
      <c r="G463" s="19">
        <v>1054</v>
      </c>
      <c r="H463" s="19">
        <v>1347</v>
      </c>
      <c r="I463" s="19">
        <v>1144</v>
      </c>
      <c r="J463" s="19">
        <v>1231</v>
      </c>
      <c r="K463" s="19">
        <v>1143</v>
      </c>
      <c r="L463" s="19">
        <v>1138</v>
      </c>
      <c r="M463" s="19">
        <v>1129</v>
      </c>
      <c r="N463" s="19"/>
      <c r="O463" s="20"/>
      <c r="P463" s="30"/>
      <c r="Q463" s="30"/>
      <c r="R463" s="30"/>
      <c r="S463" s="30"/>
      <c r="T463" s="30"/>
      <c r="U463" s="31"/>
      <c r="V463" s="30"/>
      <c r="W463" s="31"/>
      <c r="X463" s="30"/>
      <c r="Y463" s="31"/>
      <c r="Z463" s="30"/>
      <c r="AA463" s="31"/>
      <c r="AB463" s="30"/>
    </row>
    <row r="464" spans="1:28" x14ac:dyDescent="0.2">
      <c r="A464" s="22">
        <v>39630</v>
      </c>
      <c r="B464" s="18">
        <v>1274</v>
      </c>
      <c r="C464" s="19">
        <v>1532</v>
      </c>
      <c r="D464" s="19">
        <v>1255</v>
      </c>
      <c r="E464" s="19">
        <v>1119</v>
      </c>
      <c r="F464" s="19">
        <v>1266</v>
      </c>
      <c r="G464" s="19">
        <v>1053</v>
      </c>
      <c r="H464" s="19">
        <v>1347</v>
      </c>
      <c r="I464" s="19">
        <v>1133</v>
      </c>
      <c r="J464" s="19">
        <v>1228</v>
      </c>
      <c r="K464" s="19">
        <v>1137</v>
      </c>
      <c r="L464" s="19">
        <v>1133</v>
      </c>
      <c r="M464" s="19">
        <v>1129</v>
      </c>
      <c r="N464" s="19"/>
      <c r="O464" s="20"/>
      <c r="P464" s="30"/>
      <c r="Q464" s="30"/>
      <c r="R464" s="30"/>
      <c r="S464" s="30"/>
      <c r="T464" s="30"/>
      <c r="U464" s="31"/>
      <c r="V464" s="30"/>
      <c r="W464" s="31"/>
      <c r="X464" s="30"/>
      <c r="Y464" s="31"/>
      <c r="Z464" s="30"/>
      <c r="AA464" s="31"/>
      <c r="AB464" s="30"/>
    </row>
    <row r="465" spans="1:28" x14ac:dyDescent="0.2">
      <c r="A465" s="22">
        <v>39661</v>
      </c>
      <c r="B465" s="18">
        <v>1276</v>
      </c>
      <c r="C465" s="19">
        <v>1532</v>
      </c>
      <c r="D465" s="19">
        <v>1265</v>
      </c>
      <c r="E465" s="19">
        <v>1119</v>
      </c>
      <c r="F465" s="19">
        <v>1260</v>
      </c>
      <c r="G465" s="19">
        <v>1049</v>
      </c>
      <c r="H465" s="19">
        <v>1345</v>
      </c>
      <c r="I465" s="19">
        <v>1136</v>
      </c>
      <c r="J465" s="19">
        <v>1231</v>
      </c>
      <c r="K465" s="19">
        <v>1134</v>
      </c>
      <c r="L465" s="19">
        <v>1129</v>
      </c>
      <c r="M465" s="19">
        <v>1127</v>
      </c>
      <c r="N465" s="19"/>
      <c r="O465" s="20"/>
      <c r="P465" s="30"/>
      <c r="Q465" s="30"/>
      <c r="R465" s="30"/>
      <c r="S465" s="30"/>
      <c r="T465" s="30"/>
      <c r="U465" s="31"/>
      <c r="V465" s="30"/>
      <c r="W465" s="31"/>
      <c r="X465" s="30"/>
      <c r="Y465" s="31"/>
      <c r="Z465" s="30"/>
      <c r="AA465" s="31"/>
      <c r="AB465" s="30"/>
    </row>
    <row r="466" spans="1:28" x14ac:dyDescent="0.2">
      <c r="A466" s="22">
        <v>39692</v>
      </c>
      <c r="B466" s="18">
        <v>1274</v>
      </c>
      <c r="C466" s="19">
        <v>1533</v>
      </c>
      <c r="D466" s="19">
        <v>1262</v>
      </c>
      <c r="E466" s="19">
        <v>1117</v>
      </c>
      <c r="F466" s="19">
        <v>1259</v>
      </c>
      <c r="G466" s="19">
        <v>1048</v>
      </c>
      <c r="H466" s="19">
        <v>1342</v>
      </c>
      <c r="I466" s="19">
        <v>1138</v>
      </c>
      <c r="J466" s="19">
        <v>1226</v>
      </c>
      <c r="K466" s="19">
        <v>1132</v>
      </c>
      <c r="L466" s="19">
        <v>1128</v>
      </c>
      <c r="M466" s="19">
        <v>1123</v>
      </c>
      <c r="N466" s="19"/>
      <c r="O466" s="20"/>
      <c r="P466" s="30"/>
      <c r="Q466" s="30"/>
      <c r="R466" s="30"/>
      <c r="S466" s="30"/>
      <c r="T466" s="30"/>
      <c r="U466" s="31"/>
      <c r="V466" s="30"/>
      <c r="W466" s="31"/>
      <c r="X466" s="30"/>
      <c r="Y466" s="31"/>
      <c r="Z466" s="30"/>
      <c r="AA466" s="31"/>
      <c r="AB466" s="30"/>
    </row>
    <row r="467" spans="1:28" x14ac:dyDescent="0.2">
      <c r="A467" s="22">
        <v>39722</v>
      </c>
      <c r="B467" s="18">
        <v>1273</v>
      </c>
      <c r="C467" s="19">
        <v>1532</v>
      </c>
      <c r="D467" s="19">
        <v>1262</v>
      </c>
      <c r="E467" s="19">
        <v>1119</v>
      </c>
      <c r="F467" s="19">
        <v>1256</v>
      </c>
      <c r="G467" s="19">
        <v>1050</v>
      </c>
      <c r="H467" s="19">
        <v>1339</v>
      </c>
      <c r="I467" s="19">
        <v>1132</v>
      </c>
      <c r="J467" s="19">
        <v>1222</v>
      </c>
      <c r="K467" s="19">
        <v>1130</v>
      </c>
      <c r="L467" s="19">
        <v>1125</v>
      </c>
      <c r="M467" s="19">
        <v>1119</v>
      </c>
      <c r="N467" s="19"/>
      <c r="O467" s="20"/>
      <c r="P467" s="30"/>
      <c r="Q467" s="30"/>
      <c r="R467" s="30"/>
      <c r="S467" s="30"/>
      <c r="T467" s="30"/>
      <c r="U467" s="31"/>
      <c r="V467" s="30"/>
      <c r="W467" s="31"/>
      <c r="X467" s="30"/>
      <c r="Y467" s="31"/>
      <c r="Z467" s="30"/>
      <c r="AA467" s="31"/>
      <c r="AB467" s="30"/>
    </row>
    <row r="468" spans="1:28" x14ac:dyDescent="0.2">
      <c r="A468" s="22">
        <v>39753</v>
      </c>
      <c r="B468" s="18">
        <v>1273</v>
      </c>
      <c r="C468" s="19">
        <v>1532</v>
      </c>
      <c r="D468" s="19">
        <v>1262</v>
      </c>
      <c r="E468" s="19">
        <v>1119</v>
      </c>
      <c r="F468" s="19">
        <v>1256</v>
      </c>
      <c r="G468" s="19">
        <v>1050</v>
      </c>
      <c r="H468" s="19">
        <v>1339</v>
      </c>
      <c r="I468" s="19">
        <v>1132</v>
      </c>
      <c r="J468" s="19">
        <v>1222</v>
      </c>
      <c r="K468" s="19">
        <v>1130</v>
      </c>
      <c r="L468" s="19">
        <v>1125</v>
      </c>
      <c r="M468" s="19">
        <v>1119</v>
      </c>
      <c r="N468" s="19"/>
      <c r="O468" s="20"/>
      <c r="P468" s="30"/>
      <c r="Q468" s="30"/>
      <c r="R468" s="30"/>
      <c r="S468" s="30"/>
      <c r="T468" s="30"/>
      <c r="U468" s="31"/>
      <c r="V468" s="30"/>
      <c r="W468" s="31"/>
      <c r="X468" s="30"/>
      <c r="Y468" s="31"/>
      <c r="Z468" s="30"/>
      <c r="AA468" s="31"/>
      <c r="AB468" s="30"/>
    </row>
    <row r="469" spans="1:28" x14ac:dyDescent="0.2">
      <c r="A469" s="23">
        <v>39783</v>
      </c>
      <c r="B469" s="24">
        <v>1269</v>
      </c>
      <c r="C469" s="25">
        <v>1530</v>
      </c>
      <c r="D469" s="25">
        <v>1248</v>
      </c>
      <c r="E469" s="25">
        <v>1122</v>
      </c>
      <c r="F469" s="25">
        <v>1258</v>
      </c>
      <c r="G469" s="25">
        <v>1053</v>
      </c>
      <c r="H469" s="25">
        <v>1339</v>
      </c>
      <c r="I469" s="25">
        <v>1135</v>
      </c>
      <c r="J469" s="25">
        <v>1220</v>
      </c>
      <c r="K469" s="25">
        <v>1120</v>
      </c>
      <c r="L469" s="25">
        <v>1117</v>
      </c>
      <c r="M469" s="25">
        <v>1117</v>
      </c>
      <c r="N469" s="25"/>
      <c r="O469" s="26"/>
      <c r="P469" s="30"/>
      <c r="Q469" s="30"/>
      <c r="R469" s="30"/>
      <c r="S469" s="30"/>
      <c r="T469" s="30"/>
      <c r="U469" s="31"/>
      <c r="V469" s="30"/>
      <c r="W469" s="31"/>
      <c r="X469" s="30"/>
      <c r="Y469" s="31"/>
      <c r="Z469" s="30"/>
      <c r="AA469" s="31"/>
      <c r="AB469" s="30"/>
    </row>
    <row r="470" spans="1:28" x14ac:dyDescent="0.2">
      <c r="A470" s="22">
        <v>39814</v>
      </c>
      <c r="B470" s="18">
        <v>1270.8399999999999</v>
      </c>
      <c r="C470" s="19">
        <v>1561.35</v>
      </c>
      <c r="D470" s="19">
        <v>1245.01</v>
      </c>
      <c r="E470" s="19">
        <v>1132.1500000000001</v>
      </c>
      <c r="F470" s="19">
        <v>1276.45</v>
      </c>
      <c r="G470" s="19">
        <v>1050.57</v>
      </c>
      <c r="H470" s="19">
        <v>1340.28</v>
      </c>
      <c r="I470" s="19">
        <v>1127.4000000000001</v>
      </c>
      <c r="J470" s="19">
        <v>1224.96</v>
      </c>
      <c r="K470" s="19">
        <v>1111</v>
      </c>
      <c r="L470" s="19">
        <v>1117</v>
      </c>
      <c r="M470" s="19">
        <v>1117</v>
      </c>
      <c r="N470" s="19"/>
      <c r="O470" s="20"/>
      <c r="P470" s="30"/>
      <c r="Q470" s="30"/>
      <c r="R470" s="30"/>
      <c r="S470" s="30"/>
      <c r="T470" s="30"/>
      <c r="U470" s="31"/>
      <c r="V470" s="30"/>
      <c r="W470" s="31"/>
      <c r="X470" s="30"/>
      <c r="Y470" s="31"/>
      <c r="Z470" s="30"/>
      <c r="AA470" s="31"/>
      <c r="AB470" s="30"/>
    </row>
    <row r="471" spans="1:28" x14ac:dyDescent="0.2">
      <c r="A471" s="22">
        <v>39845</v>
      </c>
      <c r="B471" s="18">
        <v>1270.8399999999999</v>
      </c>
      <c r="C471" s="19">
        <v>1561.35</v>
      </c>
      <c r="D471" s="19">
        <v>1250.01</v>
      </c>
      <c r="E471" s="19">
        <v>1124.1500000000001</v>
      </c>
      <c r="F471" s="19">
        <v>1270.45</v>
      </c>
      <c r="G471" s="19">
        <v>1047.57</v>
      </c>
      <c r="H471" s="19">
        <v>1343.28</v>
      </c>
      <c r="I471" s="19">
        <v>1126.4000000000001</v>
      </c>
      <c r="J471" s="19">
        <v>1232.96</v>
      </c>
      <c r="K471" s="19">
        <v>1107</v>
      </c>
      <c r="L471" s="19">
        <v>1122</v>
      </c>
      <c r="M471" s="19">
        <v>1118</v>
      </c>
      <c r="N471" s="19"/>
      <c r="O471" s="20"/>
      <c r="P471" s="30"/>
      <c r="Q471" s="30"/>
      <c r="R471" s="30"/>
      <c r="S471" s="30"/>
      <c r="T471" s="30"/>
      <c r="U471" s="31"/>
      <c r="V471" s="30"/>
      <c r="W471" s="31"/>
      <c r="X471" s="30"/>
      <c r="Y471" s="31"/>
      <c r="Z471" s="30"/>
      <c r="AA471" s="31"/>
      <c r="AB471" s="30"/>
    </row>
    <row r="472" spans="1:28" x14ac:dyDescent="0.2">
      <c r="A472" s="22">
        <v>39873</v>
      </c>
      <c r="B472" s="18">
        <v>1271.8399999999999</v>
      </c>
      <c r="C472" s="19">
        <v>1561.35</v>
      </c>
      <c r="D472" s="19">
        <v>1242.01</v>
      </c>
      <c r="E472" s="19">
        <v>1127.1500000000001</v>
      </c>
      <c r="F472" s="19">
        <v>1276.45</v>
      </c>
      <c r="G472" s="19">
        <v>1047.57</v>
      </c>
      <c r="H472" s="19">
        <v>1339.28</v>
      </c>
      <c r="I472" s="19">
        <v>1129.4000000000001</v>
      </c>
      <c r="J472" s="19">
        <v>1230.96</v>
      </c>
      <c r="K472" s="19">
        <v>1109</v>
      </c>
      <c r="L472" s="19">
        <v>1129</v>
      </c>
      <c r="M472" s="19">
        <v>1120</v>
      </c>
      <c r="N472" s="19"/>
      <c r="O472" s="20"/>
      <c r="P472" s="30"/>
      <c r="Q472" s="30"/>
      <c r="R472" s="30"/>
      <c r="S472" s="30"/>
      <c r="T472" s="30"/>
      <c r="U472" s="31"/>
      <c r="V472" s="30"/>
      <c r="W472" s="31"/>
      <c r="X472" s="30"/>
      <c r="Y472" s="31"/>
      <c r="Z472" s="30"/>
      <c r="AA472" s="31"/>
      <c r="AB472" s="30"/>
    </row>
    <row r="473" spans="1:28" x14ac:dyDescent="0.2">
      <c r="A473" s="22">
        <v>39904</v>
      </c>
      <c r="B473" s="18">
        <v>1273.8399999999999</v>
      </c>
      <c r="C473" s="19">
        <v>1561.35</v>
      </c>
      <c r="D473" s="19">
        <v>1233.01</v>
      </c>
      <c r="E473" s="19">
        <v>1127.1500000000001</v>
      </c>
      <c r="F473" s="19">
        <v>1268.45</v>
      </c>
      <c r="G473" s="19">
        <v>1034.57</v>
      </c>
      <c r="H473" s="19">
        <v>1344.28</v>
      </c>
      <c r="I473" s="19">
        <v>1125.4000000000001</v>
      </c>
      <c r="J473" s="19">
        <v>1236.96</v>
      </c>
      <c r="K473" s="19">
        <v>1107</v>
      </c>
      <c r="L473" s="19">
        <v>1126</v>
      </c>
      <c r="M473" s="19">
        <v>1121</v>
      </c>
      <c r="N473" s="19"/>
      <c r="O473" s="20"/>
      <c r="P473" s="30"/>
      <c r="Q473" s="30"/>
      <c r="R473" s="30"/>
      <c r="S473" s="30"/>
      <c r="T473" s="30"/>
      <c r="U473" s="31"/>
      <c r="V473" s="30"/>
      <c r="W473" s="31"/>
      <c r="X473" s="30"/>
      <c r="Y473" s="31"/>
      <c r="Z473" s="30"/>
      <c r="AA473" s="31"/>
      <c r="AB473" s="30"/>
    </row>
    <row r="474" spans="1:28" x14ac:dyDescent="0.2">
      <c r="A474" s="22">
        <v>39934</v>
      </c>
      <c r="B474" s="18">
        <v>1272.8399999999999</v>
      </c>
      <c r="C474" s="19">
        <v>1561.35</v>
      </c>
      <c r="D474" s="19">
        <v>1227.01</v>
      </c>
      <c r="E474" s="19">
        <v>1124.1500000000001</v>
      </c>
      <c r="F474" s="19">
        <v>1265.45</v>
      </c>
      <c r="G474" s="19">
        <v>1036.57</v>
      </c>
      <c r="H474" s="19">
        <v>1341.28</v>
      </c>
      <c r="I474" s="19">
        <v>1121.4000000000001</v>
      </c>
      <c r="J474" s="19">
        <v>1235.96</v>
      </c>
      <c r="K474" s="19">
        <v>1103</v>
      </c>
      <c r="L474" s="19">
        <v>1123</v>
      </c>
      <c r="M474" s="19">
        <v>1115</v>
      </c>
      <c r="N474" s="19"/>
      <c r="O474" s="20"/>
      <c r="P474" s="30"/>
      <c r="Q474" s="30"/>
      <c r="R474" s="30"/>
      <c r="S474" s="30"/>
      <c r="T474" s="30"/>
      <c r="U474" s="31"/>
      <c r="V474" s="30"/>
      <c r="W474" s="31"/>
      <c r="X474" s="30"/>
      <c r="Y474" s="31"/>
      <c r="Z474" s="30"/>
      <c r="AA474" s="31"/>
      <c r="AB474" s="30"/>
    </row>
    <row r="475" spans="1:28" x14ac:dyDescent="0.2">
      <c r="A475" s="22">
        <v>39965</v>
      </c>
      <c r="B475" s="18">
        <v>1272.8399999999999</v>
      </c>
      <c r="C475" s="19">
        <v>1561.35</v>
      </c>
      <c r="D475" s="19">
        <v>1233.01</v>
      </c>
      <c r="E475" s="19">
        <v>1119.1500000000001</v>
      </c>
      <c r="F475" s="19">
        <v>1265.45</v>
      </c>
      <c r="G475" s="19">
        <v>1036.57</v>
      </c>
      <c r="H475" s="19">
        <v>1341.28</v>
      </c>
      <c r="I475" s="19">
        <v>1121.4000000000001</v>
      </c>
      <c r="J475" s="19">
        <v>1231.96</v>
      </c>
      <c r="K475" s="19">
        <v>1103</v>
      </c>
      <c r="L475" s="19">
        <v>1123</v>
      </c>
      <c r="M475" s="19">
        <v>1116</v>
      </c>
      <c r="N475" s="19"/>
      <c r="O475" s="20"/>
      <c r="P475" s="30"/>
      <c r="Q475" s="30"/>
      <c r="R475" s="30"/>
      <c r="S475" s="30"/>
      <c r="T475" s="30"/>
      <c r="U475" s="31"/>
      <c r="V475" s="30"/>
      <c r="W475" s="31"/>
      <c r="X475" s="30"/>
      <c r="Y475" s="31"/>
      <c r="Z475" s="30"/>
      <c r="AA475" s="31"/>
      <c r="AB475" s="30"/>
    </row>
    <row r="476" spans="1:28" x14ac:dyDescent="0.2">
      <c r="A476" s="22">
        <v>39995</v>
      </c>
      <c r="B476" s="18">
        <v>1272.8399999999999</v>
      </c>
      <c r="C476" s="19">
        <v>1594.35</v>
      </c>
      <c r="D476" s="19">
        <v>1239.01</v>
      </c>
      <c r="E476" s="19">
        <v>1123.1500000000001</v>
      </c>
      <c r="F476" s="19">
        <v>1263.45</v>
      </c>
      <c r="G476" s="19">
        <v>1035.57</v>
      </c>
      <c r="H476" s="19">
        <v>1335.28</v>
      </c>
      <c r="I476" s="19">
        <v>1117.4000000000001</v>
      </c>
      <c r="J476" s="19">
        <v>1230.96</v>
      </c>
      <c r="K476" s="19">
        <v>1108</v>
      </c>
      <c r="L476" s="19">
        <v>1123</v>
      </c>
      <c r="M476" s="19">
        <v>1111</v>
      </c>
      <c r="N476" s="19"/>
      <c r="O476" s="20"/>
      <c r="P476" s="30"/>
      <c r="Q476" s="30"/>
      <c r="R476" s="30"/>
      <c r="S476" s="30"/>
      <c r="T476" s="30"/>
      <c r="U476" s="31"/>
      <c r="V476" s="30"/>
      <c r="W476" s="31"/>
      <c r="X476" s="30"/>
      <c r="Y476" s="31"/>
      <c r="Z476" s="30"/>
      <c r="AA476" s="31"/>
      <c r="AB476" s="30"/>
    </row>
    <row r="477" spans="1:28" x14ac:dyDescent="0.2">
      <c r="A477" s="22">
        <v>40026</v>
      </c>
      <c r="B477" s="18">
        <v>1270.8399999999999</v>
      </c>
      <c r="C477" s="19">
        <v>1594.35</v>
      </c>
      <c r="D477" s="19">
        <v>1241.01</v>
      </c>
      <c r="E477" s="19">
        <v>1127.1500000000001</v>
      </c>
      <c r="F477" s="19">
        <v>1264.45</v>
      </c>
      <c r="G477" s="19">
        <v>1035.57</v>
      </c>
      <c r="H477" s="19">
        <v>1340.28</v>
      </c>
      <c r="I477" s="19">
        <v>1117.4000000000001</v>
      </c>
      <c r="J477" s="19">
        <v>1226.96</v>
      </c>
      <c r="K477" s="19">
        <v>1105</v>
      </c>
      <c r="L477" s="19">
        <v>1123</v>
      </c>
      <c r="M477" s="19">
        <v>1114</v>
      </c>
      <c r="N477" s="19"/>
      <c r="O477" s="20"/>
      <c r="P477" s="30"/>
      <c r="Q477" s="30"/>
      <c r="R477" s="30"/>
      <c r="S477" s="30"/>
      <c r="T477" s="30"/>
      <c r="U477" s="31"/>
      <c r="V477" s="30"/>
      <c r="W477" s="31"/>
      <c r="X477" s="30"/>
      <c r="Y477" s="31"/>
      <c r="Z477" s="30"/>
      <c r="AA477" s="31"/>
      <c r="AB477" s="30"/>
    </row>
    <row r="478" spans="1:28" x14ac:dyDescent="0.2">
      <c r="A478" s="22">
        <v>40057</v>
      </c>
      <c r="B478" s="18">
        <v>1269.8399999999999</v>
      </c>
      <c r="C478" s="19">
        <v>1562.35</v>
      </c>
      <c r="D478" s="19">
        <v>1236.01</v>
      </c>
      <c r="E478" s="19">
        <v>1125.1500000000001</v>
      </c>
      <c r="F478" s="19">
        <v>1258.45</v>
      </c>
      <c r="G478" s="19">
        <v>1035.57</v>
      </c>
      <c r="H478" s="19">
        <v>1340.28</v>
      </c>
      <c r="I478" s="19">
        <v>1119.4000000000001</v>
      </c>
      <c r="J478" s="19">
        <v>1231.96</v>
      </c>
      <c r="K478" s="19">
        <v>1111</v>
      </c>
      <c r="L478" s="19">
        <v>1122</v>
      </c>
      <c r="M478" s="19">
        <v>1117</v>
      </c>
      <c r="N478" s="19"/>
      <c r="O478" s="20"/>
      <c r="P478" s="30"/>
      <c r="Q478" s="30"/>
      <c r="R478" s="30"/>
      <c r="S478" s="30"/>
      <c r="T478" s="30"/>
      <c r="U478" s="31"/>
      <c r="V478" s="30"/>
      <c r="W478" s="31"/>
      <c r="X478" s="30"/>
      <c r="Y478" s="31"/>
      <c r="Z478" s="30"/>
      <c r="AA478" s="31"/>
      <c r="AB478" s="30"/>
    </row>
    <row r="479" spans="1:28" x14ac:dyDescent="0.2">
      <c r="A479" s="22">
        <v>40087</v>
      </c>
      <c r="B479" s="18">
        <v>1262.8399999999999</v>
      </c>
      <c r="C479" s="19">
        <v>1561.35</v>
      </c>
      <c r="D479" s="19">
        <v>1231.01</v>
      </c>
      <c r="E479" s="19">
        <v>1122.1500000000001</v>
      </c>
      <c r="F479" s="19">
        <v>1261.45</v>
      </c>
      <c r="G479" s="19">
        <v>1031.57</v>
      </c>
      <c r="H479" s="19">
        <v>1340.28</v>
      </c>
      <c r="I479" s="19">
        <v>1116.4000000000001</v>
      </c>
      <c r="J479" s="19">
        <v>1229.96</v>
      </c>
      <c r="K479" s="19">
        <v>1107</v>
      </c>
      <c r="L479" s="19">
        <v>1120</v>
      </c>
      <c r="M479" s="19">
        <v>1120</v>
      </c>
      <c r="N479" s="19"/>
      <c r="O479" s="20"/>
      <c r="P479" s="30"/>
      <c r="Q479" s="30"/>
      <c r="R479" s="30"/>
      <c r="S479" s="30"/>
      <c r="T479" s="30"/>
      <c r="U479" s="31"/>
      <c r="V479" s="30"/>
      <c r="W479" s="31"/>
      <c r="X479" s="30"/>
      <c r="Y479" s="31"/>
      <c r="Z479" s="30"/>
      <c r="AA479" s="31"/>
      <c r="AB479" s="30"/>
    </row>
    <row r="480" spans="1:28" x14ac:dyDescent="0.2">
      <c r="A480" s="22">
        <v>40118</v>
      </c>
      <c r="B480" s="18">
        <v>1263.8399999999999</v>
      </c>
      <c r="C480" s="19">
        <v>1563.35</v>
      </c>
      <c r="D480" s="19">
        <v>1240.01</v>
      </c>
      <c r="E480" s="19">
        <v>1127.1500000000001</v>
      </c>
      <c r="F480" s="19">
        <v>1266.45</v>
      </c>
      <c r="G480" s="19">
        <v>1032.57</v>
      </c>
      <c r="H480" s="19">
        <v>1340.28</v>
      </c>
      <c r="I480" s="19">
        <v>1117.4000000000001</v>
      </c>
      <c r="J480" s="19">
        <v>1230.96</v>
      </c>
      <c r="K480" s="19">
        <v>1109</v>
      </c>
      <c r="L480" s="19">
        <v>1121</v>
      </c>
      <c r="M480" s="19">
        <v>1121</v>
      </c>
      <c r="N480" s="19"/>
      <c r="O480" s="20"/>
      <c r="P480" s="30"/>
      <c r="Q480" s="30"/>
      <c r="R480" s="30"/>
      <c r="S480" s="30"/>
      <c r="T480" s="30"/>
      <c r="U480" s="31"/>
      <c r="V480" s="30"/>
      <c r="W480" s="31"/>
      <c r="X480" s="30"/>
      <c r="Y480" s="31"/>
      <c r="Z480" s="30"/>
      <c r="AA480" s="31"/>
      <c r="AB480" s="30"/>
    </row>
    <row r="481" spans="1:28" s="29" customFormat="1" x14ac:dyDescent="0.2">
      <c r="A481" s="23">
        <v>40148</v>
      </c>
      <c r="B481" s="24">
        <v>1269.8399999999999</v>
      </c>
      <c r="C481" s="25">
        <v>1561.35</v>
      </c>
      <c r="D481" s="25">
        <v>1252.01</v>
      </c>
      <c r="E481" s="25">
        <v>1132.1500000000001</v>
      </c>
      <c r="F481" s="25">
        <v>1269.45</v>
      </c>
      <c r="G481" s="25">
        <v>1037.57</v>
      </c>
      <c r="H481" s="25">
        <v>1340.28</v>
      </c>
      <c r="I481" s="25">
        <v>1118.4000000000001</v>
      </c>
      <c r="J481" s="25">
        <v>1237.96</v>
      </c>
      <c r="K481" s="25">
        <v>1107</v>
      </c>
      <c r="L481" s="25">
        <v>1124</v>
      </c>
      <c r="M481" s="25">
        <v>1119</v>
      </c>
      <c r="N481" s="25"/>
      <c r="O481" s="26"/>
      <c r="P481" s="32"/>
      <c r="Q481" s="32"/>
      <c r="R481" s="32"/>
      <c r="S481" s="32"/>
      <c r="T481" s="32"/>
      <c r="U481" s="33"/>
      <c r="V481" s="32"/>
      <c r="W481" s="33"/>
      <c r="X481" s="32"/>
      <c r="Y481" s="33"/>
      <c r="Z481" s="32"/>
      <c r="AA481" s="33"/>
      <c r="AB481" s="32"/>
    </row>
    <row r="482" spans="1:28" x14ac:dyDescent="0.2">
      <c r="A482" s="22">
        <v>40179</v>
      </c>
      <c r="B482" s="18">
        <v>1278.8399999999999</v>
      </c>
      <c r="C482" s="19">
        <v>1561.35</v>
      </c>
      <c r="D482" s="19">
        <v>1260.01</v>
      </c>
      <c r="E482" s="19">
        <v>1135.1500000000001</v>
      </c>
      <c r="F482" s="19">
        <v>1272.45</v>
      </c>
      <c r="G482" s="19">
        <v>1035.57</v>
      </c>
      <c r="H482" s="19">
        <v>1339.28</v>
      </c>
      <c r="I482" s="19">
        <v>1120.4000000000001</v>
      </c>
      <c r="J482" s="19">
        <v>1223.96</v>
      </c>
      <c r="K482" s="19">
        <v>1112</v>
      </c>
      <c r="L482" s="19">
        <v>1126</v>
      </c>
      <c r="M482" s="19">
        <v>1119</v>
      </c>
      <c r="N482" s="19"/>
      <c r="O482" s="20"/>
      <c r="P482" s="30"/>
      <c r="Q482" s="30"/>
      <c r="R482" s="30"/>
      <c r="S482" s="30"/>
      <c r="T482" s="30"/>
      <c r="U482" s="31"/>
      <c r="V482" s="30"/>
      <c r="W482" s="31"/>
      <c r="X482" s="30"/>
      <c r="Y482" s="31"/>
      <c r="Z482" s="30"/>
      <c r="AA482" s="31"/>
      <c r="AB482" s="30"/>
    </row>
    <row r="483" spans="1:28" x14ac:dyDescent="0.2">
      <c r="A483" s="22">
        <v>40210</v>
      </c>
      <c r="B483" s="18">
        <v>1284.8399999999999</v>
      </c>
      <c r="C483" s="19">
        <v>1561.35</v>
      </c>
      <c r="D483" s="19">
        <v>1264.01</v>
      </c>
      <c r="E483" s="19">
        <v>1132.1500000000001</v>
      </c>
      <c r="F483" s="19">
        <v>1274.45</v>
      </c>
      <c r="G483" s="19">
        <v>1028.57</v>
      </c>
      <c r="H483" s="19">
        <v>1338.28</v>
      </c>
      <c r="I483" s="19">
        <v>1119.4000000000001</v>
      </c>
      <c r="J483" s="19">
        <v>1222.96</v>
      </c>
      <c r="K483" s="19">
        <v>1102</v>
      </c>
      <c r="L483" s="19">
        <v>1113</v>
      </c>
      <c r="M483" s="19">
        <v>1116</v>
      </c>
      <c r="N483" s="19"/>
      <c r="O483" s="20"/>
      <c r="P483" s="30"/>
      <c r="Q483" s="30"/>
      <c r="R483" s="30"/>
      <c r="S483" s="30"/>
      <c r="T483" s="30"/>
      <c r="U483" s="31"/>
      <c r="V483" s="30"/>
      <c r="W483" s="31"/>
      <c r="X483" s="30"/>
      <c r="Y483" s="31"/>
      <c r="Z483" s="30"/>
      <c r="AA483" s="31"/>
      <c r="AB483" s="30"/>
    </row>
    <row r="484" spans="1:28" x14ac:dyDescent="0.2">
      <c r="A484" s="22">
        <v>40238</v>
      </c>
      <c r="B484" s="18">
        <v>1286.8399999999999</v>
      </c>
      <c r="C484" s="19">
        <v>1560.35</v>
      </c>
      <c r="D484" s="19">
        <v>1260.01</v>
      </c>
      <c r="E484" s="19">
        <v>1147.1500000000001</v>
      </c>
      <c r="F484" s="19">
        <v>1299.45</v>
      </c>
      <c r="G484" s="19">
        <v>1030.57</v>
      </c>
      <c r="H484" s="19">
        <v>1335.28</v>
      </c>
      <c r="I484" s="19">
        <v>1125.4000000000001</v>
      </c>
      <c r="J484" s="19">
        <v>1228.96</v>
      </c>
      <c r="K484" s="19">
        <v>1106</v>
      </c>
      <c r="L484" s="19">
        <v>1119</v>
      </c>
      <c r="M484" s="19">
        <v>1127</v>
      </c>
      <c r="N484" s="19"/>
      <c r="O484" s="20"/>
      <c r="P484" s="30"/>
      <c r="Q484" s="30"/>
      <c r="R484" s="30"/>
      <c r="S484" s="30"/>
      <c r="T484" s="30"/>
      <c r="U484" s="31"/>
      <c r="V484" s="30"/>
      <c r="W484" s="31"/>
      <c r="X484" s="30"/>
      <c r="Y484" s="31"/>
      <c r="Z484" s="30"/>
      <c r="AA484" s="31"/>
      <c r="AB484" s="30"/>
    </row>
    <row r="485" spans="1:28" x14ac:dyDescent="0.2">
      <c r="A485" s="22">
        <v>40269</v>
      </c>
      <c r="B485" s="18">
        <v>1289.8399999999999</v>
      </c>
      <c r="C485" s="19">
        <v>1561.35</v>
      </c>
      <c r="D485" s="19">
        <v>1268.01</v>
      </c>
      <c r="E485" s="19">
        <v>1149.1500000000001</v>
      </c>
      <c r="F485" s="19">
        <v>1302.45</v>
      </c>
      <c r="G485" s="19">
        <v>1028.57</v>
      </c>
      <c r="H485" s="19">
        <v>1332.28</v>
      </c>
      <c r="I485" s="19">
        <v>1127.4000000000001</v>
      </c>
      <c r="J485" s="19">
        <v>1231.96</v>
      </c>
      <c r="K485" s="19">
        <v>1113</v>
      </c>
      <c r="L485" s="19">
        <v>1124</v>
      </c>
      <c r="M485" s="19">
        <v>1123</v>
      </c>
      <c r="N485" s="19"/>
      <c r="O485" s="20"/>
      <c r="P485" s="30"/>
      <c r="Q485" s="30"/>
      <c r="R485" s="30"/>
      <c r="S485" s="30"/>
      <c r="T485" s="30"/>
      <c r="U485" s="31"/>
      <c r="V485" s="30"/>
      <c r="W485" s="31"/>
      <c r="X485" s="30"/>
      <c r="Y485" s="31"/>
      <c r="Z485" s="30"/>
      <c r="AA485" s="31"/>
      <c r="AB485" s="30"/>
    </row>
    <row r="486" spans="1:28" x14ac:dyDescent="0.2">
      <c r="A486" s="22">
        <v>40299</v>
      </c>
      <c r="B486" s="18">
        <v>1284.8399999999999</v>
      </c>
      <c r="C486" s="19">
        <v>1558.35</v>
      </c>
      <c r="D486" s="19">
        <v>1265.01</v>
      </c>
      <c r="E486" s="19">
        <v>1121.1500000000001</v>
      </c>
      <c r="F486" s="19">
        <v>1296.45</v>
      </c>
      <c r="G486" s="19">
        <v>1024.57</v>
      </c>
      <c r="H486" s="19">
        <v>1329.28</v>
      </c>
      <c r="I486" s="19">
        <v>1130.4000000000001</v>
      </c>
      <c r="J486" s="19">
        <v>1232.96</v>
      </c>
      <c r="K486" s="19">
        <v>1108</v>
      </c>
      <c r="L486" s="19">
        <v>1128</v>
      </c>
      <c r="M486" s="19">
        <v>1121</v>
      </c>
      <c r="N486" s="19"/>
      <c r="O486" s="20"/>
      <c r="P486" s="30"/>
      <c r="Q486" s="30"/>
      <c r="R486" s="30"/>
      <c r="S486" s="30"/>
      <c r="T486" s="30"/>
      <c r="U486" s="31"/>
      <c r="V486" s="30"/>
      <c r="W486" s="31"/>
      <c r="X486" s="30"/>
      <c r="Y486" s="31"/>
      <c r="Z486" s="30"/>
      <c r="AA486" s="31"/>
      <c r="AB486" s="30"/>
    </row>
    <row r="487" spans="1:28" x14ac:dyDescent="0.2">
      <c r="A487" s="22">
        <v>40330</v>
      </c>
      <c r="B487" s="18">
        <v>1284.8399999999999</v>
      </c>
      <c r="C487" s="19">
        <v>1558.35</v>
      </c>
      <c r="D487" s="19">
        <v>1263.01</v>
      </c>
      <c r="E487" s="19">
        <v>1121.1500000000001</v>
      </c>
      <c r="F487" s="19">
        <v>1296.45</v>
      </c>
      <c r="G487" s="19">
        <v>1024.57</v>
      </c>
      <c r="H487" s="19">
        <v>1329.28</v>
      </c>
      <c r="I487" s="19">
        <v>1130.4000000000001</v>
      </c>
      <c r="J487" s="19">
        <v>1231.96</v>
      </c>
      <c r="K487" s="19">
        <v>1110</v>
      </c>
      <c r="L487" s="19">
        <v>1128</v>
      </c>
      <c r="M487" s="19">
        <v>1120</v>
      </c>
      <c r="N487" s="19"/>
      <c r="O487" s="20"/>
      <c r="P487" s="30"/>
      <c r="Q487" s="30"/>
      <c r="R487" s="30"/>
      <c r="S487" s="30"/>
      <c r="T487" s="30"/>
      <c r="U487" s="31"/>
      <c r="V487" s="30"/>
      <c r="W487" s="31"/>
      <c r="X487" s="30"/>
      <c r="Y487" s="31"/>
      <c r="Z487" s="30"/>
      <c r="AA487" s="31"/>
      <c r="AB487" s="30"/>
    </row>
    <row r="488" spans="1:28" x14ac:dyDescent="0.2">
      <c r="A488" s="22">
        <v>40360</v>
      </c>
      <c r="B488" s="18">
        <v>1270.8399999999999</v>
      </c>
      <c r="C488" s="19">
        <v>1558.35</v>
      </c>
      <c r="D488" s="19">
        <v>1261.01</v>
      </c>
      <c r="E488" s="19">
        <v>1121.1500000000001</v>
      </c>
      <c r="F488" s="19">
        <v>1294.45</v>
      </c>
      <c r="G488" s="19">
        <v>1024.57</v>
      </c>
      <c r="H488" s="19">
        <v>1334.28</v>
      </c>
      <c r="I488" s="19">
        <v>1130.4000000000001</v>
      </c>
      <c r="J488" s="19">
        <v>1231.96</v>
      </c>
      <c r="K488" s="19">
        <v>1109</v>
      </c>
      <c r="L488" s="19">
        <v>1128</v>
      </c>
      <c r="M488" s="19">
        <v>1119</v>
      </c>
      <c r="N488" s="19"/>
      <c r="O488" s="20"/>
      <c r="P488" s="30"/>
      <c r="Q488" s="30"/>
      <c r="R488" s="30"/>
      <c r="S488" s="30"/>
      <c r="T488" s="30"/>
      <c r="U488" s="31"/>
      <c r="V488" s="30"/>
      <c r="W488" s="31"/>
      <c r="X488" s="30"/>
      <c r="Y488" s="31"/>
      <c r="Z488" s="30"/>
      <c r="AA488" s="31"/>
      <c r="AB488" s="30"/>
    </row>
    <row r="489" spans="1:28" x14ac:dyDescent="0.2">
      <c r="A489" s="22">
        <v>40391</v>
      </c>
      <c r="B489" s="18">
        <v>1268.8399999999999</v>
      </c>
      <c r="C489" s="19">
        <v>1558.35</v>
      </c>
      <c r="D489" s="19">
        <v>1259.01</v>
      </c>
      <c r="E489" s="19">
        <v>1121.1500000000001</v>
      </c>
      <c r="F489" s="19">
        <v>1279.45</v>
      </c>
      <c r="G489" s="19">
        <v>1026.57</v>
      </c>
      <c r="H489" s="19">
        <v>1322.28</v>
      </c>
      <c r="I489" s="19">
        <v>1127.4000000000001</v>
      </c>
      <c r="J489" s="19">
        <v>1233.96</v>
      </c>
      <c r="K489" s="19">
        <v>1107</v>
      </c>
      <c r="L489" s="19">
        <v>1128</v>
      </c>
      <c r="M489" s="19">
        <v>1122</v>
      </c>
      <c r="N489" s="19"/>
      <c r="O489" s="20"/>
      <c r="P489" s="30"/>
      <c r="Q489" s="30"/>
      <c r="R489" s="30"/>
      <c r="S489" s="30"/>
      <c r="T489" s="30"/>
      <c r="U489" s="31"/>
      <c r="V489" s="30"/>
      <c r="W489" s="31"/>
      <c r="X489" s="30"/>
      <c r="Y489" s="31"/>
      <c r="Z489" s="30"/>
      <c r="AA489" s="31"/>
      <c r="AB489" s="30"/>
    </row>
    <row r="490" spans="1:28" x14ac:dyDescent="0.2">
      <c r="A490" s="22">
        <v>40422</v>
      </c>
      <c r="B490" s="18">
        <v>1263.8399999999999</v>
      </c>
      <c r="C490" s="19">
        <v>1558.35</v>
      </c>
      <c r="D490" s="19">
        <v>1258.01</v>
      </c>
      <c r="E490" s="19">
        <v>1115.1500000000001</v>
      </c>
      <c r="F490" s="19">
        <v>1279.45</v>
      </c>
      <c r="G490" s="19">
        <v>1025.57</v>
      </c>
      <c r="H490" s="19">
        <v>1321.28</v>
      </c>
      <c r="I490" s="19">
        <v>1122.4000000000001</v>
      </c>
      <c r="J490" s="19">
        <v>1231.96</v>
      </c>
      <c r="K490" s="19">
        <v>1109</v>
      </c>
      <c r="L490" s="19">
        <v>1129</v>
      </c>
      <c r="M490" s="19">
        <v>1117</v>
      </c>
      <c r="N490" s="19"/>
      <c r="O490" s="20"/>
      <c r="P490" s="30"/>
      <c r="Q490" s="30"/>
      <c r="R490" s="30"/>
      <c r="S490" s="30"/>
      <c r="T490" s="30"/>
      <c r="U490" s="31"/>
      <c r="V490" s="30"/>
      <c r="W490" s="31"/>
      <c r="X490" s="30"/>
      <c r="Y490" s="31"/>
      <c r="Z490" s="30"/>
      <c r="AA490" s="31"/>
      <c r="AB490" s="30"/>
    </row>
    <row r="491" spans="1:28" x14ac:dyDescent="0.2">
      <c r="A491" s="23">
        <v>40452</v>
      </c>
      <c r="B491" s="24">
        <v>1269.8399999999999</v>
      </c>
      <c r="C491" s="25">
        <v>1558.35</v>
      </c>
      <c r="D491" s="25">
        <v>1261.01</v>
      </c>
      <c r="E491" s="25">
        <v>1113.1500000000001</v>
      </c>
      <c r="F491" s="25">
        <v>1285.45</v>
      </c>
      <c r="G491" s="25">
        <v>1027.57</v>
      </c>
      <c r="H491" s="25">
        <v>1324.28</v>
      </c>
      <c r="I491" s="25">
        <v>1107.4000000000001</v>
      </c>
      <c r="J491" s="25">
        <v>1234.96</v>
      </c>
      <c r="K491" s="25">
        <v>1108</v>
      </c>
      <c r="L491" s="25">
        <v>1130</v>
      </c>
      <c r="M491" s="25">
        <v>1117</v>
      </c>
      <c r="N491" s="25"/>
      <c r="O491" s="26"/>
      <c r="P491" s="30"/>
      <c r="Q491" s="30"/>
      <c r="R491" s="30"/>
      <c r="S491" s="30"/>
      <c r="T491" s="30"/>
      <c r="U491" s="31"/>
      <c r="V491" s="30"/>
      <c r="W491" s="31"/>
      <c r="X491" s="30"/>
      <c r="Y491" s="31"/>
      <c r="Z491" s="30"/>
      <c r="AA491" s="31"/>
      <c r="AB491" s="30"/>
    </row>
    <row r="492" spans="1:28" x14ac:dyDescent="0.2">
      <c r="A492" s="23">
        <v>40483</v>
      </c>
      <c r="B492" s="24">
        <v>1269.8399999999999</v>
      </c>
      <c r="C492" s="25">
        <v>1561.35</v>
      </c>
      <c r="D492" s="25">
        <v>1260.01</v>
      </c>
      <c r="E492" s="25">
        <v>1113.1500000000001</v>
      </c>
      <c r="F492" s="25">
        <v>1285.45</v>
      </c>
      <c r="G492" s="25">
        <v>1027.57</v>
      </c>
      <c r="H492" s="25">
        <v>1323.28</v>
      </c>
      <c r="I492" s="25">
        <v>1117.4000000000001</v>
      </c>
      <c r="J492" s="25">
        <v>1234.96</v>
      </c>
      <c r="K492" s="25">
        <v>1110</v>
      </c>
      <c r="L492" s="25">
        <v>1130</v>
      </c>
      <c r="M492" s="25">
        <v>1121</v>
      </c>
      <c r="N492" s="25"/>
      <c r="O492" s="26"/>
      <c r="P492" s="30"/>
      <c r="Q492" s="30"/>
      <c r="R492" s="30"/>
      <c r="S492" s="30"/>
      <c r="T492" s="30"/>
      <c r="U492" s="31"/>
      <c r="V492" s="30"/>
      <c r="W492" s="31"/>
      <c r="X492" s="30"/>
      <c r="Y492" s="31"/>
      <c r="Z492" s="30"/>
      <c r="AA492" s="31"/>
      <c r="AB492" s="30"/>
    </row>
    <row r="493" spans="1:28" x14ac:dyDescent="0.2">
      <c r="A493" s="23">
        <v>40513</v>
      </c>
      <c r="B493" s="24">
        <v>1273.8399999999999</v>
      </c>
      <c r="C493" s="25">
        <v>1557.35</v>
      </c>
      <c r="D493" s="25">
        <v>1265.01</v>
      </c>
      <c r="E493" s="25">
        <v>1120.1500000000001</v>
      </c>
      <c r="F493" s="25">
        <v>1288.45</v>
      </c>
      <c r="G493" s="25">
        <v>1022.5699999999999</v>
      </c>
      <c r="H493" s="25">
        <v>1323.28</v>
      </c>
      <c r="I493" s="25">
        <v>1130.4000000000001</v>
      </c>
      <c r="J493" s="25">
        <v>1230.96</v>
      </c>
      <c r="K493" s="25">
        <v>1111</v>
      </c>
      <c r="L493" s="25">
        <v>1125</v>
      </c>
      <c r="M493" s="25">
        <v>1121</v>
      </c>
      <c r="N493" s="25"/>
      <c r="O493" s="26"/>
      <c r="P493" s="30"/>
      <c r="Q493" s="30"/>
      <c r="R493" s="30"/>
      <c r="S493" s="30"/>
      <c r="T493" s="30"/>
      <c r="U493" s="31"/>
      <c r="V493" s="30"/>
      <c r="W493" s="31"/>
      <c r="X493" s="30"/>
      <c r="Y493" s="31"/>
      <c r="Z493" s="30"/>
      <c r="AA493" s="31"/>
      <c r="AB493" s="30"/>
    </row>
    <row r="494" spans="1:28" x14ac:dyDescent="0.2">
      <c r="A494" s="23">
        <v>40544</v>
      </c>
      <c r="B494" s="24">
        <v>1276.8399999999999</v>
      </c>
      <c r="C494" s="25">
        <v>1556.35</v>
      </c>
      <c r="D494" s="25">
        <v>1263.01</v>
      </c>
      <c r="E494" s="25">
        <v>1125.1500000000001</v>
      </c>
      <c r="F494" s="25">
        <v>1292.45</v>
      </c>
      <c r="G494" s="25">
        <v>1024.57</v>
      </c>
      <c r="H494" s="25">
        <v>1329.28</v>
      </c>
      <c r="I494" s="25">
        <v>1132.4000000000001</v>
      </c>
      <c r="J494" s="25">
        <v>1230.96</v>
      </c>
      <c r="K494" s="25">
        <v>1107</v>
      </c>
      <c r="L494" s="25">
        <v>1125</v>
      </c>
      <c r="M494" s="25">
        <v>1118</v>
      </c>
      <c r="N494" s="25"/>
      <c r="O494" s="26"/>
      <c r="P494" s="30"/>
      <c r="Q494" s="30"/>
      <c r="R494" s="30"/>
      <c r="S494" s="30"/>
      <c r="T494" s="30"/>
      <c r="U494" s="31"/>
      <c r="V494" s="30"/>
      <c r="W494" s="31"/>
      <c r="X494" s="30"/>
      <c r="Y494" s="31"/>
      <c r="Z494" s="30"/>
      <c r="AA494" s="31"/>
      <c r="AB494" s="30"/>
    </row>
    <row r="495" spans="1:28" x14ac:dyDescent="0.2">
      <c r="A495" s="23">
        <v>40575</v>
      </c>
      <c r="B495" s="24">
        <v>1277.8399999999999</v>
      </c>
      <c r="C495" s="25">
        <v>1555.35</v>
      </c>
      <c r="D495" s="25">
        <v>1262.01</v>
      </c>
      <c r="E495" s="25">
        <v>1114.1500000000001</v>
      </c>
      <c r="F495" s="25">
        <v>1290.45</v>
      </c>
      <c r="G495" s="25">
        <v>1024.57</v>
      </c>
      <c r="H495" s="25">
        <v>1330.28</v>
      </c>
      <c r="I495" s="25">
        <v>1129.4000000000001</v>
      </c>
      <c r="J495" s="25">
        <v>1233.96</v>
      </c>
      <c r="K495" s="25">
        <v>1104</v>
      </c>
      <c r="L495" s="25">
        <v>1123.5</v>
      </c>
      <c r="M495" s="25">
        <v>1115</v>
      </c>
      <c r="N495" s="25"/>
      <c r="O495" s="26"/>
      <c r="P495" s="30"/>
      <c r="Q495" s="30"/>
      <c r="R495" s="30"/>
      <c r="S495" s="30"/>
      <c r="T495" s="30"/>
      <c r="U495" s="31"/>
      <c r="V495" s="30"/>
      <c r="W495" s="31"/>
      <c r="X495" s="30"/>
      <c r="Y495" s="31"/>
      <c r="Z495" s="30"/>
      <c r="AA495" s="31"/>
      <c r="AB495" s="30"/>
    </row>
    <row r="496" spans="1:28" s="29" customFormat="1" x14ac:dyDescent="0.2">
      <c r="A496" s="23">
        <v>40603</v>
      </c>
      <c r="B496" s="24">
        <v>1276.8399999999999</v>
      </c>
      <c r="C496" s="25">
        <v>1555.35</v>
      </c>
      <c r="D496" s="25">
        <v>1261.01</v>
      </c>
      <c r="E496" s="25">
        <v>1115.1500000000001</v>
      </c>
      <c r="F496" s="25">
        <v>1291.45</v>
      </c>
      <c r="G496" s="25">
        <v>1025.57</v>
      </c>
      <c r="H496" s="25">
        <v>1336.28</v>
      </c>
      <c r="I496" s="25">
        <v>1131.4000000000001</v>
      </c>
      <c r="J496" s="25">
        <v>1232.96</v>
      </c>
      <c r="K496" s="25">
        <v>1103</v>
      </c>
      <c r="L496" s="25">
        <v>1124</v>
      </c>
      <c r="M496" s="25">
        <v>1114</v>
      </c>
      <c r="N496" s="25"/>
      <c r="O496" s="26"/>
      <c r="P496" s="32"/>
      <c r="Q496" s="32"/>
      <c r="R496" s="32"/>
      <c r="S496" s="32"/>
      <c r="T496" s="32"/>
      <c r="U496" s="33"/>
      <c r="V496" s="32"/>
      <c r="W496" s="33"/>
      <c r="X496" s="32"/>
      <c r="Y496" s="33"/>
      <c r="Z496" s="32"/>
      <c r="AA496" s="33"/>
      <c r="AB496" s="32"/>
    </row>
    <row r="497" spans="1:28" x14ac:dyDescent="0.2">
      <c r="A497" s="23">
        <v>40634</v>
      </c>
      <c r="B497" s="24">
        <v>1275.8399999999999</v>
      </c>
      <c r="C497" s="25">
        <v>1555.35</v>
      </c>
      <c r="D497" s="25">
        <v>1261.01</v>
      </c>
      <c r="E497" s="25">
        <v>1114.1500000000001</v>
      </c>
      <c r="F497" s="25">
        <v>1297.45</v>
      </c>
      <c r="G497" s="25">
        <v>1026.57</v>
      </c>
      <c r="H497" s="25">
        <v>1338.28</v>
      </c>
      <c r="I497" s="25">
        <v>1131.4000000000001</v>
      </c>
      <c r="J497" s="25">
        <v>1232.96</v>
      </c>
      <c r="K497" s="25">
        <v>1103</v>
      </c>
      <c r="L497" s="25">
        <v>1128</v>
      </c>
      <c r="M497" s="25">
        <v>1114</v>
      </c>
      <c r="N497" s="25"/>
      <c r="O497" s="26"/>
      <c r="P497" s="30"/>
      <c r="Q497" s="30"/>
      <c r="R497" s="30"/>
      <c r="S497" s="30"/>
      <c r="T497" s="30"/>
      <c r="U497" s="31"/>
      <c r="V497" s="30"/>
      <c r="W497" s="31"/>
      <c r="X497" s="30"/>
      <c r="Y497" s="31"/>
      <c r="Z497" s="30"/>
      <c r="AA497" s="31"/>
      <c r="AB497" s="30"/>
    </row>
    <row r="498" spans="1:28" x14ac:dyDescent="0.2">
      <c r="A498" s="23">
        <v>40664</v>
      </c>
      <c r="B498" s="24">
        <v>1274.8399999999999</v>
      </c>
      <c r="C498" s="25">
        <v>1555.35</v>
      </c>
      <c r="D498" s="25">
        <v>1259.01</v>
      </c>
      <c r="E498" s="25">
        <v>1119.1500000000001</v>
      </c>
      <c r="F498" s="25">
        <v>1296.45</v>
      </c>
      <c r="G498" s="25">
        <v>1027.57</v>
      </c>
      <c r="H498" s="25">
        <v>1338.28</v>
      </c>
      <c r="I498" s="25">
        <v>1137.4000000000001</v>
      </c>
      <c r="J498" s="25">
        <v>1233.96</v>
      </c>
      <c r="K498" s="25">
        <v>1103</v>
      </c>
      <c r="L498" s="25">
        <v>1128</v>
      </c>
      <c r="M498" s="25">
        <v>1118</v>
      </c>
      <c r="N498" s="25"/>
      <c r="O498" s="26"/>
      <c r="P498" s="30"/>
      <c r="Q498" s="30"/>
      <c r="R498" s="30"/>
      <c r="S498" s="30"/>
      <c r="T498" s="30"/>
      <c r="U498" s="31"/>
      <c r="V498" s="30"/>
      <c r="W498" s="31"/>
      <c r="X498" s="30"/>
      <c r="Y498" s="31"/>
      <c r="Z498" s="30"/>
      <c r="AA498" s="31"/>
      <c r="AB498" s="30"/>
    </row>
    <row r="499" spans="1:28" x14ac:dyDescent="0.2">
      <c r="A499" s="23">
        <v>40695</v>
      </c>
      <c r="B499" s="24">
        <v>1265.8399999999999</v>
      </c>
      <c r="C499" s="25">
        <v>1555.35</v>
      </c>
      <c r="D499" s="25">
        <v>1252.01</v>
      </c>
      <c r="E499" s="25">
        <v>1136.1500000000001</v>
      </c>
      <c r="F499" s="25">
        <v>1290.45</v>
      </c>
      <c r="G499" s="25">
        <v>1037.57</v>
      </c>
      <c r="H499" s="25">
        <v>1337.28</v>
      </c>
      <c r="I499" s="25">
        <v>1141.4000000000001</v>
      </c>
      <c r="J499" s="25">
        <v>1209.96</v>
      </c>
      <c r="K499" s="25">
        <v>1106</v>
      </c>
      <c r="L499" s="25">
        <v>1131</v>
      </c>
      <c r="M499" s="25">
        <v>1118</v>
      </c>
      <c r="N499" s="25"/>
      <c r="O499" s="26"/>
      <c r="P499" s="30"/>
      <c r="Q499" s="30"/>
      <c r="R499" s="30"/>
      <c r="S499" s="30"/>
      <c r="T499" s="30"/>
      <c r="U499" s="31"/>
      <c r="V499" s="30"/>
      <c r="W499" s="31"/>
      <c r="X499" s="30"/>
      <c r="Y499" s="31"/>
      <c r="Z499" s="30"/>
      <c r="AA499" s="31"/>
      <c r="AB499" s="30"/>
    </row>
    <row r="500" spans="1:28" x14ac:dyDescent="0.2">
      <c r="A500" s="23">
        <v>40725</v>
      </c>
      <c r="B500" s="24">
        <v>1268.8399999999999</v>
      </c>
      <c r="C500" s="25">
        <v>1555.35</v>
      </c>
      <c r="D500" s="25">
        <v>1252.01</v>
      </c>
      <c r="E500" s="25">
        <v>1125.1500000000001</v>
      </c>
      <c r="F500" s="25">
        <v>1291.45</v>
      </c>
      <c r="G500" s="25">
        <v>1041.57</v>
      </c>
      <c r="H500" s="25">
        <v>1336.28</v>
      </c>
      <c r="I500" s="25">
        <v>1135.4000000000001</v>
      </c>
      <c r="J500" s="25">
        <v>1225.96</v>
      </c>
      <c r="K500" s="25">
        <v>1106</v>
      </c>
      <c r="L500" s="25">
        <v>1131</v>
      </c>
      <c r="M500" s="25">
        <v>1118</v>
      </c>
      <c r="N500" s="25"/>
      <c r="O500" s="26"/>
      <c r="P500" s="30"/>
      <c r="Q500" s="30"/>
      <c r="R500" s="30"/>
      <c r="S500" s="30"/>
      <c r="T500" s="30"/>
      <c r="U500" s="31"/>
      <c r="V500" s="30"/>
      <c r="W500" s="31"/>
      <c r="X500" s="30"/>
      <c r="Y500" s="31"/>
      <c r="Z500" s="30"/>
      <c r="AA500" s="31"/>
      <c r="AB500" s="30"/>
    </row>
    <row r="501" spans="1:28" x14ac:dyDescent="0.2">
      <c r="A501" s="23">
        <v>40756</v>
      </c>
      <c r="B501" s="24">
        <v>1267.8399999999999</v>
      </c>
      <c r="C501" s="25">
        <v>1554.35</v>
      </c>
      <c r="D501" s="25">
        <v>1251.01</v>
      </c>
      <c r="E501" s="25">
        <v>1125.1500000000001</v>
      </c>
      <c r="F501" s="25">
        <v>1288.45</v>
      </c>
      <c r="G501" s="25">
        <v>1041.57</v>
      </c>
      <c r="H501" s="25">
        <v>1335.28</v>
      </c>
      <c r="I501" s="25">
        <v>1132.4000000000001</v>
      </c>
      <c r="J501" s="25">
        <v>1223.96</v>
      </c>
      <c r="K501" s="25">
        <v>1106</v>
      </c>
      <c r="L501" s="25">
        <v>1131</v>
      </c>
      <c r="M501" s="25">
        <v>1117</v>
      </c>
      <c r="N501" s="25"/>
      <c r="O501" s="26"/>
      <c r="P501" s="30"/>
      <c r="Q501" s="30"/>
      <c r="R501" s="30"/>
      <c r="S501" s="30"/>
      <c r="T501" s="30"/>
      <c r="U501" s="31"/>
      <c r="V501" s="30"/>
      <c r="W501" s="31"/>
      <c r="X501" s="30"/>
      <c r="Y501" s="31"/>
      <c r="Z501" s="30"/>
      <c r="AA501" s="31"/>
      <c r="AB501" s="30"/>
    </row>
    <row r="502" spans="1:28" x14ac:dyDescent="0.2">
      <c r="A502" s="23">
        <v>40787</v>
      </c>
      <c r="B502" s="24">
        <v>1265.8399999999999</v>
      </c>
      <c r="C502" s="25">
        <v>1553.35</v>
      </c>
      <c r="D502" s="25">
        <v>1249.01</v>
      </c>
      <c r="E502" s="25">
        <v>1123.1500000000001</v>
      </c>
      <c r="F502" s="25">
        <v>1288.45</v>
      </c>
      <c r="G502" s="25">
        <v>1041.57</v>
      </c>
      <c r="H502" s="25">
        <v>1333.28</v>
      </c>
      <c r="I502" s="25">
        <v>1128.4000000000001</v>
      </c>
      <c r="J502" s="25">
        <v>1223.96</v>
      </c>
      <c r="K502" s="25">
        <v>1105</v>
      </c>
      <c r="L502" s="25">
        <v>1131</v>
      </c>
      <c r="M502" s="25">
        <v>1115</v>
      </c>
      <c r="N502" s="25"/>
      <c r="O502" s="26"/>
      <c r="P502" s="30"/>
      <c r="Q502" s="30"/>
      <c r="R502" s="30"/>
      <c r="S502" s="30"/>
      <c r="T502" s="30"/>
      <c r="U502" s="31"/>
      <c r="V502" s="30"/>
      <c r="W502" s="31"/>
      <c r="X502" s="30"/>
      <c r="Y502" s="31"/>
      <c r="Z502" s="30"/>
      <c r="AA502" s="31"/>
      <c r="AB502" s="30"/>
    </row>
    <row r="503" spans="1:28" x14ac:dyDescent="0.2">
      <c r="A503" s="22">
        <v>40817</v>
      </c>
      <c r="B503" s="18">
        <v>1266.8399999999999</v>
      </c>
      <c r="C503" s="19">
        <v>1555.35</v>
      </c>
      <c r="D503" s="19">
        <v>1249.01</v>
      </c>
      <c r="E503" s="19">
        <v>1115.1500000000001</v>
      </c>
      <c r="F503" s="19">
        <v>1297.45</v>
      </c>
      <c r="G503" s="19">
        <v>1042.57</v>
      </c>
      <c r="H503" s="19">
        <v>1339.28</v>
      </c>
      <c r="I503" s="19">
        <v>1126.4000000000001</v>
      </c>
      <c r="J503" s="19">
        <v>1219.96</v>
      </c>
      <c r="K503" s="19">
        <v>1111</v>
      </c>
      <c r="L503" s="19">
        <v>1132</v>
      </c>
      <c r="M503" s="19">
        <v>1115</v>
      </c>
      <c r="N503" s="19"/>
      <c r="O503" s="20"/>
      <c r="P503" s="30"/>
      <c r="Q503" s="30"/>
      <c r="R503" s="30"/>
      <c r="S503" s="30"/>
      <c r="T503" s="30"/>
      <c r="U503" s="31"/>
      <c r="V503" s="30"/>
      <c r="W503" s="31"/>
      <c r="X503" s="30"/>
      <c r="Y503" s="31"/>
      <c r="Z503" s="30"/>
      <c r="AA503" s="31"/>
      <c r="AB503" s="30"/>
    </row>
    <row r="504" spans="1:28" x14ac:dyDescent="0.2">
      <c r="A504" s="22">
        <v>40848</v>
      </c>
      <c r="B504" s="18">
        <v>1269.8399999999999</v>
      </c>
      <c r="C504" s="19">
        <v>1562.35</v>
      </c>
      <c r="D504" s="19">
        <v>1250.01</v>
      </c>
      <c r="E504" s="19">
        <v>1124.1500000000001</v>
      </c>
      <c r="F504" s="19">
        <v>1297.45</v>
      </c>
      <c r="G504" s="19">
        <v>1034.57</v>
      </c>
      <c r="H504" s="19">
        <v>1338.28</v>
      </c>
      <c r="I504" s="19">
        <v>1116.4000000000001</v>
      </c>
      <c r="J504" s="19">
        <v>1221.96</v>
      </c>
      <c r="K504" s="19">
        <v>1106</v>
      </c>
      <c r="L504" s="19">
        <v>1128</v>
      </c>
      <c r="M504" s="19">
        <v>1116</v>
      </c>
      <c r="N504" s="19"/>
      <c r="O504" s="20"/>
      <c r="P504" s="30"/>
      <c r="Q504" s="30"/>
      <c r="R504" s="30"/>
      <c r="S504" s="30"/>
      <c r="T504" s="30"/>
      <c r="U504" s="31"/>
      <c r="V504" s="30"/>
      <c r="W504" s="31"/>
      <c r="X504" s="30"/>
      <c r="Y504" s="31"/>
      <c r="Z504" s="30"/>
      <c r="AA504" s="31"/>
      <c r="AB504" s="30"/>
    </row>
    <row r="505" spans="1:28" x14ac:dyDescent="0.2">
      <c r="A505" s="22">
        <v>40878</v>
      </c>
      <c r="B505" s="18">
        <v>1268.8399999999999</v>
      </c>
      <c r="C505" s="19">
        <v>1562.35</v>
      </c>
      <c r="D505" s="19">
        <v>1256.01</v>
      </c>
      <c r="E505" s="19">
        <v>1128.1500000000001</v>
      </c>
      <c r="F505" s="19">
        <v>1309.45</v>
      </c>
      <c r="G505" s="19">
        <v>1035.57</v>
      </c>
      <c r="H505" s="19">
        <v>1341.28</v>
      </c>
      <c r="I505" s="19">
        <v>1126.4000000000001</v>
      </c>
      <c r="J505" s="19">
        <v>1215.96</v>
      </c>
      <c r="K505" s="19">
        <v>1093</v>
      </c>
      <c r="L505" s="19">
        <v>1128</v>
      </c>
      <c r="M505" s="19">
        <v>1114</v>
      </c>
      <c r="N505" s="19"/>
      <c r="O505" s="20"/>
      <c r="P505" s="30"/>
      <c r="Q505" s="30"/>
      <c r="R505" s="30"/>
      <c r="S505" s="30"/>
      <c r="T505" s="30"/>
      <c r="U505" s="31"/>
      <c r="V505" s="30"/>
      <c r="W505" s="31"/>
      <c r="X505" s="30"/>
      <c r="Y505" s="31"/>
      <c r="Z505" s="30"/>
      <c r="AA505" s="31"/>
      <c r="AB505" s="30"/>
    </row>
    <row r="506" spans="1:28" x14ac:dyDescent="0.2">
      <c r="A506" s="22">
        <v>40909</v>
      </c>
      <c r="B506" s="18">
        <v>1263.8399999999999</v>
      </c>
      <c r="C506" s="19">
        <v>1562.35</v>
      </c>
      <c r="D506" s="19">
        <v>1252.01</v>
      </c>
      <c r="E506" s="19">
        <v>1125.1500000000001</v>
      </c>
      <c r="F506" s="19">
        <v>1306.45</v>
      </c>
      <c r="G506" s="19">
        <v>1036.57</v>
      </c>
      <c r="H506" s="19">
        <v>1339.28</v>
      </c>
      <c r="I506" s="19">
        <v>1137.4000000000001</v>
      </c>
      <c r="J506" s="19">
        <v>1214.96</v>
      </c>
      <c r="K506" s="19">
        <v>1100</v>
      </c>
      <c r="L506" s="19">
        <v>1129</v>
      </c>
      <c r="M506" s="25">
        <v>1120</v>
      </c>
      <c r="N506" s="25"/>
      <c r="O506" s="26"/>
      <c r="P506" s="30"/>
      <c r="Q506" s="30"/>
      <c r="R506" s="30"/>
      <c r="S506" s="30"/>
      <c r="T506" s="30"/>
      <c r="U506" s="31"/>
      <c r="V506" s="30"/>
      <c r="W506" s="31"/>
      <c r="X506" s="30"/>
      <c r="Y506" s="31"/>
      <c r="Z506" s="30"/>
      <c r="AA506" s="31"/>
      <c r="AB506" s="30"/>
    </row>
    <row r="507" spans="1:28" x14ac:dyDescent="0.2">
      <c r="A507" s="22">
        <v>40951</v>
      </c>
      <c r="B507" s="18">
        <v>1258.8399999999999</v>
      </c>
      <c r="C507" s="19">
        <v>1562.35</v>
      </c>
      <c r="D507" s="19">
        <v>1250.01</v>
      </c>
      <c r="E507" s="19">
        <v>1132.1500000000001</v>
      </c>
      <c r="F507" s="19">
        <v>1307.45</v>
      </c>
      <c r="G507" s="19">
        <v>1035.57</v>
      </c>
      <c r="H507" s="19">
        <v>1334.28</v>
      </c>
      <c r="I507" s="19">
        <v>1131.4000000000001</v>
      </c>
      <c r="J507" s="19">
        <v>1218.96</v>
      </c>
      <c r="K507" s="19">
        <v>1116</v>
      </c>
      <c r="L507" s="19">
        <v>1130</v>
      </c>
      <c r="M507" s="25">
        <v>1120</v>
      </c>
      <c r="N507" s="25"/>
      <c r="O507" s="20"/>
      <c r="P507" s="30"/>
      <c r="Q507" s="30"/>
      <c r="R507" s="30"/>
      <c r="S507" s="30"/>
      <c r="T507" s="30"/>
      <c r="U507" s="31"/>
      <c r="V507" s="30"/>
      <c r="W507" s="31"/>
      <c r="X507" s="30"/>
      <c r="Y507" s="31"/>
      <c r="Z507" s="30"/>
      <c r="AA507" s="31"/>
      <c r="AB507" s="30"/>
    </row>
    <row r="508" spans="1:28" x14ac:dyDescent="0.2">
      <c r="A508" s="22">
        <v>40969</v>
      </c>
      <c r="B508" s="18">
        <v>1258.8399999999999</v>
      </c>
      <c r="C508" s="19">
        <v>1563.35</v>
      </c>
      <c r="D508" s="19">
        <v>1250.01</v>
      </c>
      <c r="E508" s="19">
        <v>1135.1500000000001</v>
      </c>
      <c r="F508" s="19">
        <v>1304.45</v>
      </c>
      <c r="G508" s="19">
        <v>1035.57</v>
      </c>
      <c r="H508" s="19">
        <v>1334.28</v>
      </c>
      <c r="I508" s="19">
        <v>1131.4000000000001</v>
      </c>
      <c r="J508" s="19">
        <v>1215.96</v>
      </c>
      <c r="K508" s="19">
        <v>1116</v>
      </c>
      <c r="L508" s="19">
        <v>1130</v>
      </c>
      <c r="M508" s="25">
        <v>1131</v>
      </c>
      <c r="N508" s="25"/>
      <c r="O508" s="20"/>
      <c r="P508" s="30"/>
      <c r="Q508" s="30"/>
      <c r="R508" s="30"/>
      <c r="S508" s="30"/>
      <c r="T508" s="30"/>
      <c r="U508" s="31"/>
      <c r="V508" s="30"/>
      <c r="W508" s="31"/>
      <c r="X508" s="30"/>
      <c r="Y508" s="31"/>
      <c r="Z508" s="30"/>
      <c r="AA508" s="31"/>
      <c r="AB508" s="30"/>
    </row>
    <row r="509" spans="1:28" x14ac:dyDescent="0.2">
      <c r="A509" s="22">
        <v>41000</v>
      </c>
      <c r="B509" s="18">
        <v>1260.6399999999999</v>
      </c>
      <c r="C509" s="19">
        <v>1558.55</v>
      </c>
      <c r="D509" s="19">
        <v>1247.71</v>
      </c>
      <c r="E509" s="19">
        <v>1133.6500000000001</v>
      </c>
      <c r="F509" s="19">
        <v>1286.6500000000001</v>
      </c>
      <c r="G509" s="19">
        <v>1032.07</v>
      </c>
      <c r="H509" s="19">
        <v>1331.08</v>
      </c>
      <c r="I509" s="19">
        <v>1139.9000000000001</v>
      </c>
      <c r="J509" s="19">
        <v>1212.3600000000001</v>
      </c>
      <c r="K509" s="19">
        <v>1142.2</v>
      </c>
      <c r="L509" s="19">
        <v>1134.5</v>
      </c>
      <c r="M509" s="25">
        <v>1132.5</v>
      </c>
      <c r="N509" s="25"/>
      <c r="O509" s="20"/>
      <c r="P509" s="30"/>
      <c r="Q509" s="30"/>
      <c r="R509" s="30"/>
      <c r="S509" s="30"/>
      <c r="T509" s="30"/>
      <c r="U509" s="31"/>
      <c r="V509" s="30"/>
      <c r="W509" s="31"/>
      <c r="X509" s="30"/>
      <c r="Y509" s="31"/>
      <c r="Z509" s="30"/>
      <c r="AA509" s="31"/>
      <c r="AB509" s="30"/>
    </row>
    <row r="510" spans="1:28" x14ac:dyDescent="0.2">
      <c r="A510" s="22">
        <v>41030</v>
      </c>
      <c r="B510" s="18">
        <v>1256.8399999999999</v>
      </c>
      <c r="C510" s="19">
        <v>1559.35</v>
      </c>
      <c r="D510" s="19">
        <v>1248.01</v>
      </c>
      <c r="E510" s="19">
        <v>1134.1500000000001</v>
      </c>
      <c r="F510" s="19">
        <v>1287.45</v>
      </c>
      <c r="G510" s="19">
        <v>1032.57</v>
      </c>
      <c r="H510" s="19">
        <v>1331.28</v>
      </c>
      <c r="I510" s="19">
        <v>1140.4000000000001</v>
      </c>
      <c r="J510" s="19">
        <v>1212.96</v>
      </c>
      <c r="K510" s="19">
        <v>1143</v>
      </c>
      <c r="L510" s="19">
        <v>1135</v>
      </c>
      <c r="M510" s="25">
        <v>1130</v>
      </c>
      <c r="N510" s="25"/>
      <c r="O510" s="20"/>
      <c r="P510" s="30"/>
      <c r="Q510" s="30"/>
      <c r="R510" s="30"/>
      <c r="S510" s="30"/>
      <c r="T510" s="30"/>
      <c r="U510" s="31"/>
      <c r="V510" s="30"/>
      <c r="W510" s="31"/>
      <c r="X510" s="30"/>
      <c r="Y510" s="31"/>
      <c r="Z510" s="30"/>
      <c r="AA510" s="31"/>
      <c r="AB510" s="30"/>
    </row>
    <row r="511" spans="1:28" x14ac:dyDescent="0.2">
      <c r="A511" s="22">
        <v>41061</v>
      </c>
      <c r="B511" s="18">
        <v>1250.8399999999999</v>
      </c>
      <c r="C511" s="19">
        <v>1559.35</v>
      </c>
      <c r="D511" s="19">
        <v>1248.01</v>
      </c>
      <c r="E511" s="19">
        <v>1135.1500000000001</v>
      </c>
      <c r="F511" s="19">
        <v>1288.45</v>
      </c>
      <c r="G511" s="19">
        <v>1033.57</v>
      </c>
      <c r="H511" s="19">
        <v>1329.28</v>
      </c>
      <c r="I511" s="19">
        <v>1141.4000000000001</v>
      </c>
      <c r="J511" s="19">
        <v>1214.96</v>
      </c>
      <c r="K511" s="19">
        <v>1126</v>
      </c>
      <c r="L511" s="19">
        <v>1134</v>
      </c>
      <c r="M511" s="25">
        <v>1119</v>
      </c>
      <c r="N511" s="25"/>
      <c r="O511" s="20"/>
      <c r="P511" s="30"/>
      <c r="Q511" s="30"/>
      <c r="R511" s="30"/>
      <c r="S511" s="30"/>
      <c r="T511" s="30"/>
      <c r="U511" s="31"/>
      <c r="V511" s="30"/>
      <c r="W511" s="31"/>
      <c r="X511" s="30"/>
      <c r="Y511" s="31"/>
      <c r="Z511" s="30"/>
      <c r="AA511" s="31"/>
      <c r="AB511" s="30"/>
    </row>
    <row r="512" spans="1:28" x14ac:dyDescent="0.2">
      <c r="A512" s="22">
        <v>41091</v>
      </c>
      <c r="B512" s="18">
        <v>1248.8399999999999</v>
      </c>
      <c r="C512" s="19">
        <v>1558.35</v>
      </c>
      <c r="D512" s="19">
        <v>1246.01</v>
      </c>
      <c r="E512" s="19">
        <v>1128.1500000000001</v>
      </c>
      <c r="F512" s="19">
        <v>1286.45</v>
      </c>
      <c r="G512" s="19">
        <v>1032.57</v>
      </c>
      <c r="H512" s="19">
        <v>1326.28</v>
      </c>
      <c r="I512" s="19">
        <v>1140.4000000000001</v>
      </c>
      <c r="J512" s="19">
        <v>1213.96</v>
      </c>
      <c r="K512" s="19">
        <v>1126</v>
      </c>
      <c r="L512" s="19">
        <v>1138</v>
      </c>
      <c r="M512" s="25">
        <v>1117</v>
      </c>
      <c r="N512" s="19"/>
      <c r="O512" s="20"/>
      <c r="P512" s="30"/>
      <c r="Q512" s="30"/>
      <c r="R512" s="30"/>
      <c r="S512" s="30"/>
      <c r="T512" s="30"/>
      <c r="U512" s="31"/>
      <c r="V512" s="30"/>
      <c r="W512" s="31"/>
      <c r="X512" s="30"/>
      <c r="Y512" s="31"/>
      <c r="Z512" s="30"/>
      <c r="AA512" s="31"/>
      <c r="AB512" s="30"/>
    </row>
    <row r="513" spans="1:28" x14ac:dyDescent="0.2">
      <c r="A513" s="22">
        <v>41122</v>
      </c>
      <c r="B513" s="18">
        <v>1248.8399999999999</v>
      </c>
      <c r="C513" s="19">
        <v>1558.35</v>
      </c>
      <c r="D513" s="19">
        <v>1246.01</v>
      </c>
      <c r="E513" s="19">
        <v>1128.1500000000001</v>
      </c>
      <c r="F513" s="19">
        <v>1285.45</v>
      </c>
      <c r="G513" s="19">
        <v>1033.57</v>
      </c>
      <c r="H513" s="19">
        <v>1324.28</v>
      </c>
      <c r="I513" s="19">
        <v>1139.4000000000001</v>
      </c>
      <c r="J513" s="19">
        <v>1211.96</v>
      </c>
      <c r="K513" s="19">
        <v>1128</v>
      </c>
      <c r="L513" s="19">
        <v>1137</v>
      </c>
      <c r="M513" s="25">
        <v>1117</v>
      </c>
      <c r="N513" s="19"/>
      <c r="O513" s="20"/>
      <c r="P513" s="30"/>
      <c r="Q513" s="30"/>
      <c r="R513" s="30"/>
      <c r="S513" s="30"/>
      <c r="T513" s="30"/>
      <c r="U513" s="31"/>
      <c r="V513" s="30"/>
      <c r="W513" s="31"/>
      <c r="X513" s="30"/>
      <c r="Y513" s="31"/>
      <c r="Z513" s="30"/>
      <c r="AA513" s="31"/>
      <c r="AB513" s="30"/>
    </row>
    <row r="514" spans="1:28" x14ac:dyDescent="0.2">
      <c r="A514" s="22">
        <v>41153</v>
      </c>
      <c r="B514" s="18">
        <v>1248.8399999999999</v>
      </c>
      <c r="C514" s="19">
        <v>1558.35</v>
      </c>
      <c r="D514" s="19">
        <v>1245.01</v>
      </c>
      <c r="E514" s="19">
        <v>1128.1500000000001</v>
      </c>
      <c r="F514" s="19">
        <v>1284.45</v>
      </c>
      <c r="G514" s="19">
        <v>1033.57</v>
      </c>
      <c r="H514" s="19">
        <v>1323.28</v>
      </c>
      <c r="I514" s="19">
        <v>1139.4000000000001</v>
      </c>
      <c r="J514" s="19">
        <v>1210.96</v>
      </c>
      <c r="K514" s="19">
        <v>1128</v>
      </c>
      <c r="L514" s="19">
        <v>1136</v>
      </c>
      <c r="M514" s="25">
        <v>1116</v>
      </c>
      <c r="N514" s="19"/>
      <c r="O514" s="20"/>
      <c r="P514" s="30"/>
      <c r="Q514" s="30"/>
      <c r="R514" s="30"/>
      <c r="S514" s="30"/>
      <c r="T514" s="30"/>
      <c r="U514" s="31"/>
      <c r="V514" s="30"/>
      <c r="W514" s="31"/>
      <c r="X514" s="30"/>
      <c r="Y514" s="31"/>
      <c r="Z514" s="30"/>
      <c r="AA514" s="31"/>
      <c r="AB514" s="30"/>
    </row>
    <row r="515" spans="1:28" x14ac:dyDescent="0.2">
      <c r="A515" s="22">
        <v>41183</v>
      </c>
      <c r="B515" s="18">
        <v>1254.8399999999999</v>
      </c>
      <c r="C515" s="19">
        <v>1558.35</v>
      </c>
      <c r="D515" s="19">
        <v>1245.01</v>
      </c>
      <c r="E515" s="19">
        <v>1123.1500000000001</v>
      </c>
      <c r="F515" s="19">
        <v>1285.45</v>
      </c>
      <c r="G515" s="19">
        <v>1034.57</v>
      </c>
      <c r="H515" s="19">
        <v>1315.28</v>
      </c>
      <c r="I515" s="19">
        <v>1132.4000000000001</v>
      </c>
      <c r="J515" s="19">
        <v>1200.96</v>
      </c>
      <c r="K515" s="19">
        <v>1128</v>
      </c>
      <c r="L515" s="50">
        <v>1132</v>
      </c>
      <c r="M515" s="25">
        <v>1113</v>
      </c>
      <c r="N515" s="19"/>
      <c r="O515" s="20"/>
      <c r="P515" s="30"/>
      <c r="Q515" s="30"/>
      <c r="R515" s="30"/>
      <c r="S515" s="30"/>
      <c r="T515" s="30"/>
      <c r="U515" s="31"/>
      <c r="V515" s="30"/>
      <c r="W515" s="31"/>
      <c r="X515" s="30"/>
      <c r="Y515" s="31"/>
      <c r="Z515" s="30"/>
      <c r="AA515" s="31"/>
      <c r="AB515" s="30"/>
    </row>
    <row r="516" spans="1:28" x14ac:dyDescent="0.2">
      <c r="A516" s="22">
        <v>41214</v>
      </c>
      <c r="B516" s="18">
        <v>1247.8399999999999</v>
      </c>
      <c r="C516" s="19">
        <v>1558.35</v>
      </c>
      <c r="D516" s="19">
        <v>1245.01</v>
      </c>
      <c r="E516" s="19">
        <v>1122.1500000000001</v>
      </c>
      <c r="F516" s="19">
        <v>1269.45</v>
      </c>
      <c r="G516" s="19">
        <v>1034.57</v>
      </c>
      <c r="H516" s="19">
        <v>1316.28</v>
      </c>
      <c r="I516" s="19">
        <v>1134.4000000000001</v>
      </c>
      <c r="J516" s="19">
        <v>1202.96</v>
      </c>
      <c r="K516" s="19">
        <v>1133</v>
      </c>
      <c r="L516" s="50">
        <v>1133</v>
      </c>
      <c r="M516" s="25">
        <v>1114</v>
      </c>
      <c r="N516" s="19"/>
      <c r="O516" s="20"/>
      <c r="P516" s="30"/>
      <c r="Q516" s="30"/>
      <c r="R516" s="30"/>
      <c r="S516" s="30" t="s">
        <v>28</v>
      </c>
      <c r="T516" s="30"/>
      <c r="U516" s="31"/>
      <c r="V516" s="30"/>
      <c r="W516" s="31"/>
      <c r="X516" s="30"/>
      <c r="Y516" s="31"/>
      <c r="Z516" s="30"/>
      <c r="AA516" s="31"/>
      <c r="AB516" s="30"/>
    </row>
    <row r="517" spans="1:28" x14ac:dyDescent="0.2">
      <c r="A517" s="22">
        <v>41244</v>
      </c>
      <c r="B517" s="18">
        <v>1247.8399999999999</v>
      </c>
      <c r="C517" s="19">
        <v>1558.35</v>
      </c>
      <c r="D517" s="19">
        <v>1245.01</v>
      </c>
      <c r="E517" s="19">
        <v>1122.1500000000001</v>
      </c>
      <c r="F517" s="19">
        <v>1268.45</v>
      </c>
      <c r="G517" s="19">
        <v>1035.57</v>
      </c>
      <c r="H517" s="19">
        <v>1305.28</v>
      </c>
      <c r="I517" s="19">
        <v>1133.4000000000001</v>
      </c>
      <c r="J517" s="19">
        <v>1202.96</v>
      </c>
      <c r="K517" s="19">
        <v>1132</v>
      </c>
      <c r="L517" s="50">
        <v>1143</v>
      </c>
      <c r="M517" s="25">
        <v>1113</v>
      </c>
      <c r="N517" s="25"/>
      <c r="O517" s="20"/>
      <c r="P517" s="55"/>
      <c r="Q517" s="30" t="s">
        <v>25</v>
      </c>
      <c r="R517" s="30">
        <f>AVERAGE(L515:L526)</f>
        <v>1125.3333333333333</v>
      </c>
      <c r="S517" s="56">
        <v>5.93</v>
      </c>
      <c r="T517" s="30"/>
      <c r="U517" s="31"/>
      <c r="V517" s="30"/>
      <c r="W517" s="31"/>
      <c r="X517" s="30"/>
      <c r="Y517" s="31"/>
      <c r="Z517" s="30"/>
      <c r="AA517" s="31"/>
      <c r="AB517" s="30"/>
    </row>
    <row r="518" spans="1:28" x14ac:dyDescent="0.2">
      <c r="A518" s="22">
        <v>41275</v>
      </c>
      <c r="B518" s="18">
        <v>1249.8399999999999</v>
      </c>
      <c r="C518" s="19">
        <v>1553.35</v>
      </c>
      <c r="D518" s="19">
        <v>1239.01</v>
      </c>
      <c r="E518" s="19">
        <v>1114.1500000000001</v>
      </c>
      <c r="F518" s="19">
        <v>1278.45</v>
      </c>
      <c r="G518" s="19">
        <v>1033.57</v>
      </c>
      <c r="H518" s="19">
        <v>1320.28</v>
      </c>
      <c r="I518" s="19">
        <v>1123.4000000000001</v>
      </c>
      <c r="J518" s="19">
        <v>1200.96</v>
      </c>
      <c r="K518" s="19">
        <v>1113</v>
      </c>
      <c r="L518" s="50">
        <v>1126</v>
      </c>
      <c r="M518" s="25">
        <v>1105</v>
      </c>
      <c r="N518" s="25"/>
      <c r="O518" s="20"/>
      <c r="P518" s="30"/>
      <c r="Q518" s="30"/>
      <c r="R518" s="30"/>
      <c r="S518" s="30"/>
      <c r="T518" s="30"/>
      <c r="U518" s="31"/>
      <c r="V518" s="30"/>
      <c r="W518" s="31"/>
      <c r="X518" s="30"/>
      <c r="Y518" s="31"/>
      <c r="Z518" s="30"/>
      <c r="AA518" s="31"/>
      <c r="AB518" s="30"/>
    </row>
    <row r="519" spans="1:28" x14ac:dyDescent="0.2">
      <c r="A519" s="22">
        <v>41306</v>
      </c>
      <c r="B519" s="18">
        <v>1248.8399999999999</v>
      </c>
      <c r="C519" s="19">
        <v>1553.35</v>
      </c>
      <c r="D519" s="19">
        <v>1240.01</v>
      </c>
      <c r="E519" s="19">
        <v>1119.1500000000001</v>
      </c>
      <c r="F519" s="19">
        <v>1276.45</v>
      </c>
      <c r="G519" s="19">
        <v>1031.57</v>
      </c>
      <c r="H519" s="19">
        <v>1318.28</v>
      </c>
      <c r="I519" s="19">
        <v>1122.4000000000001</v>
      </c>
      <c r="J519" s="19">
        <v>1200.96</v>
      </c>
      <c r="K519" s="19">
        <v>1113</v>
      </c>
      <c r="L519" s="50">
        <v>1125</v>
      </c>
      <c r="M519" s="25">
        <v>1110</v>
      </c>
      <c r="N519" s="25"/>
      <c r="O519" s="20"/>
      <c r="P519" s="30"/>
      <c r="Q519" s="30"/>
      <c r="R519" s="30"/>
      <c r="S519" s="30"/>
      <c r="T519" s="30"/>
      <c r="U519" s="31"/>
      <c r="V519" s="30"/>
      <c r="W519" s="31"/>
      <c r="X519" s="30"/>
      <c r="Y519" s="31"/>
      <c r="Z519" s="30"/>
      <c r="AA519" s="31"/>
      <c r="AB519" s="30"/>
    </row>
    <row r="520" spans="1:28" x14ac:dyDescent="0.2">
      <c r="A520" s="22">
        <v>41334</v>
      </c>
      <c r="B520" s="18">
        <v>1235.8399999999999</v>
      </c>
      <c r="C520" s="19">
        <v>1562.35</v>
      </c>
      <c r="D520" s="19">
        <v>1244.01</v>
      </c>
      <c r="E520" s="19">
        <v>1120.1500000000001</v>
      </c>
      <c r="F520" s="19">
        <v>1273.45</v>
      </c>
      <c r="G520" s="19">
        <v>1026.57</v>
      </c>
      <c r="H520" s="19">
        <v>1310.28</v>
      </c>
      <c r="I520" s="19">
        <v>1127.4000000000001</v>
      </c>
      <c r="J520" s="19">
        <v>1204.96</v>
      </c>
      <c r="K520" s="19">
        <v>1115</v>
      </c>
      <c r="L520" s="50">
        <v>1129</v>
      </c>
      <c r="M520" s="25">
        <v>1120</v>
      </c>
      <c r="N520" s="25"/>
      <c r="O520" s="20"/>
      <c r="P520" s="30"/>
      <c r="Q520" s="30"/>
      <c r="R520" s="30"/>
      <c r="S520" s="30"/>
      <c r="T520" s="30"/>
      <c r="U520" s="31"/>
      <c r="V520" s="30"/>
      <c r="W520" s="31"/>
      <c r="X520" s="30"/>
      <c r="Y520" s="31"/>
      <c r="Z520" s="30"/>
      <c r="AA520" s="31"/>
      <c r="AB520" s="30"/>
    </row>
    <row r="521" spans="1:28" x14ac:dyDescent="0.2">
      <c r="A521" s="22">
        <v>41365</v>
      </c>
      <c r="B521" s="18">
        <v>1248.8399999999999</v>
      </c>
      <c r="C521" s="19">
        <v>1562.35</v>
      </c>
      <c r="D521" s="19">
        <v>1235.01</v>
      </c>
      <c r="E521" s="19">
        <v>1115.1500000000001</v>
      </c>
      <c r="F521" s="19">
        <v>1268.45</v>
      </c>
      <c r="G521" s="19">
        <v>1029.57</v>
      </c>
      <c r="H521" s="19">
        <v>1315.28</v>
      </c>
      <c r="I521" s="19">
        <v>1127.4000000000001</v>
      </c>
      <c r="J521" s="19">
        <v>1200.96</v>
      </c>
      <c r="K521" s="19">
        <v>1115</v>
      </c>
      <c r="L521" s="50">
        <v>1129</v>
      </c>
      <c r="M521" s="25">
        <v>1114</v>
      </c>
      <c r="N521" s="25"/>
      <c r="O521" s="20"/>
      <c r="P521" s="30"/>
      <c r="Q521" s="30"/>
      <c r="R521" s="30"/>
      <c r="S521" s="30"/>
      <c r="T521" s="30"/>
      <c r="U521" s="31"/>
      <c r="V521" s="30"/>
      <c r="W521" s="31"/>
      <c r="X521" s="30"/>
      <c r="Y521" s="31"/>
      <c r="Z521" s="30"/>
      <c r="AA521" s="31"/>
      <c r="AB521" s="30"/>
    </row>
    <row r="522" spans="1:28" x14ac:dyDescent="0.2">
      <c r="A522" s="22">
        <v>41395</v>
      </c>
      <c r="B522" s="18">
        <v>1235.8399999999999</v>
      </c>
      <c r="C522" s="19">
        <v>1559.35</v>
      </c>
      <c r="D522" s="19">
        <v>1232.01</v>
      </c>
      <c r="E522" s="19">
        <v>1114.1500000000001</v>
      </c>
      <c r="F522" s="19">
        <v>1263.45</v>
      </c>
      <c r="G522" s="19">
        <v>1025.57</v>
      </c>
      <c r="H522" s="19">
        <v>1308.28</v>
      </c>
      <c r="I522" s="19">
        <v>1119.4000000000001</v>
      </c>
      <c r="J522" s="19">
        <v>1206.96</v>
      </c>
      <c r="K522" s="19">
        <v>1123</v>
      </c>
      <c r="L522" s="50">
        <v>1119</v>
      </c>
      <c r="M522" s="25">
        <v>1110</v>
      </c>
      <c r="N522" s="25"/>
      <c r="O522" s="20"/>
      <c r="P522" s="30"/>
      <c r="Q522" s="30"/>
      <c r="R522" s="30"/>
      <c r="S522" s="30"/>
      <c r="T522" s="30"/>
      <c r="U522" s="31"/>
      <c r="V522" s="30"/>
      <c r="W522" s="31"/>
      <c r="X522" s="30"/>
      <c r="Y522" s="31"/>
      <c r="Z522" s="30"/>
      <c r="AA522" s="31"/>
      <c r="AB522" s="30"/>
    </row>
    <row r="523" spans="1:28" x14ac:dyDescent="0.2">
      <c r="A523" s="22">
        <v>41426</v>
      </c>
      <c r="B523" s="18">
        <v>1240.8399999999999</v>
      </c>
      <c r="C523" s="19">
        <v>1551.35</v>
      </c>
      <c r="D523" s="19">
        <v>1227.01</v>
      </c>
      <c r="E523" s="19">
        <v>1115.1500000000001</v>
      </c>
      <c r="F523" s="19">
        <v>1263.45</v>
      </c>
      <c r="G523" s="19">
        <v>1027.57</v>
      </c>
      <c r="H523" s="19">
        <v>1310.28</v>
      </c>
      <c r="I523" s="19">
        <v>1125.4000000000001</v>
      </c>
      <c r="J523" s="19">
        <v>1214.96</v>
      </c>
      <c r="K523" s="19">
        <v>1126</v>
      </c>
      <c r="L523" s="50">
        <v>1123</v>
      </c>
      <c r="M523" s="25">
        <v>1112</v>
      </c>
      <c r="N523" s="25"/>
      <c r="O523" s="20"/>
      <c r="P523" s="30"/>
      <c r="Q523" s="30"/>
      <c r="R523" s="30"/>
      <c r="S523" s="30"/>
      <c r="T523" s="30"/>
      <c r="U523" s="31"/>
      <c r="V523" s="30"/>
      <c r="W523" s="31"/>
      <c r="X523" s="30"/>
      <c r="Y523" s="31"/>
      <c r="Z523" s="30"/>
      <c r="AA523" s="31"/>
      <c r="AB523" s="30"/>
    </row>
    <row r="524" spans="1:28" x14ac:dyDescent="0.2">
      <c r="A524" s="22">
        <v>41456</v>
      </c>
      <c r="B524" s="18">
        <v>1240.8399999999999</v>
      </c>
      <c r="C524" s="19">
        <v>1558.35</v>
      </c>
      <c r="D524" s="19">
        <v>1228.01</v>
      </c>
      <c r="E524" s="19">
        <v>1119.1500000000001</v>
      </c>
      <c r="F524" s="19">
        <v>1259.45</v>
      </c>
      <c r="G524" s="19">
        <v>1027.57</v>
      </c>
      <c r="H524" s="19">
        <v>1308.28</v>
      </c>
      <c r="I524" s="19">
        <v>1125.4000000000001</v>
      </c>
      <c r="J524" s="19">
        <v>1212.96</v>
      </c>
      <c r="K524" s="19">
        <v>1130</v>
      </c>
      <c r="L524" s="50">
        <v>1121</v>
      </c>
      <c r="M524" s="25">
        <v>1111</v>
      </c>
      <c r="N524" s="25"/>
      <c r="O524" s="20"/>
      <c r="P524" s="30"/>
      <c r="Q524" s="30"/>
      <c r="R524" s="30"/>
      <c r="S524" s="30"/>
      <c r="T524" s="30"/>
      <c r="U524" s="31"/>
      <c r="V524" s="30"/>
      <c r="W524" s="31"/>
      <c r="X524" s="30"/>
      <c r="Y524" s="31"/>
      <c r="Z524" s="30"/>
      <c r="AA524" s="31"/>
      <c r="AB524" s="30"/>
    </row>
    <row r="525" spans="1:28" x14ac:dyDescent="0.2">
      <c r="A525" s="22">
        <v>41487</v>
      </c>
      <c r="B525" s="18">
        <v>1239.8399999999999</v>
      </c>
      <c r="C525" s="19">
        <v>1551.35</v>
      </c>
      <c r="D525" s="19">
        <v>1223.01</v>
      </c>
      <c r="E525" s="19">
        <v>1132.1500000000001</v>
      </c>
      <c r="F525" s="19">
        <v>1256.45</v>
      </c>
      <c r="G525" s="19">
        <v>1025.57</v>
      </c>
      <c r="H525" s="19">
        <v>1311.28</v>
      </c>
      <c r="I525" s="19">
        <v>1132.4000000000001</v>
      </c>
      <c r="J525" s="19">
        <v>1174.96</v>
      </c>
      <c r="K525" s="19">
        <v>1144</v>
      </c>
      <c r="L525" s="50">
        <v>1112</v>
      </c>
      <c r="M525" s="25">
        <v>1114</v>
      </c>
      <c r="N525" s="25"/>
      <c r="O525" s="20"/>
      <c r="P525" s="30"/>
      <c r="Q525" s="30"/>
      <c r="R525" s="30"/>
      <c r="S525" s="30"/>
      <c r="T525" s="30"/>
      <c r="U525" s="31"/>
      <c r="V525" s="30"/>
      <c r="W525" s="31"/>
      <c r="X525" s="30"/>
      <c r="Y525" s="31"/>
      <c r="Z525" s="30"/>
      <c r="AA525" s="31"/>
      <c r="AB525" s="30"/>
    </row>
    <row r="526" spans="1:28" x14ac:dyDescent="0.2">
      <c r="A526" s="22">
        <v>41518</v>
      </c>
      <c r="B526" s="18">
        <v>1245.8399999999999</v>
      </c>
      <c r="C526" s="19">
        <v>1551.35</v>
      </c>
      <c r="D526" s="19">
        <v>1223.01</v>
      </c>
      <c r="E526" s="19">
        <v>1130.1500000000001</v>
      </c>
      <c r="F526" s="19">
        <v>1256.45</v>
      </c>
      <c r="G526" s="19">
        <v>1026.57</v>
      </c>
      <c r="H526" s="19">
        <v>1298.28</v>
      </c>
      <c r="I526" s="19">
        <v>1128.4000000000001</v>
      </c>
      <c r="J526" s="19">
        <v>1172.96</v>
      </c>
      <c r="K526" s="19">
        <v>1128</v>
      </c>
      <c r="L526" s="50">
        <v>1112</v>
      </c>
      <c r="M526" s="25">
        <v>1114</v>
      </c>
      <c r="N526" s="25"/>
      <c r="O526" s="20"/>
      <c r="P526" s="30"/>
      <c r="Q526" s="30"/>
      <c r="R526" s="30"/>
      <c r="S526" s="30"/>
      <c r="T526" s="30"/>
      <c r="U526" s="31"/>
      <c r="V526" s="30"/>
      <c r="W526" s="31"/>
      <c r="X526" s="30"/>
      <c r="Y526" s="31"/>
      <c r="Z526" s="30"/>
      <c r="AA526" s="31"/>
      <c r="AB526" s="30"/>
    </row>
    <row r="527" spans="1:28" x14ac:dyDescent="0.2">
      <c r="A527" s="22">
        <v>41548</v>
      </c>
      <c r="B527" s="18">
        <v>1245.8399999999999</v>
      </c>
      <c r="C527" s="19">
        <v>1551.35</v>
      </c>
      <c r="D527" s="19">
        <v>1225.01</v>
      </c>
      <c r="E527" s="19">
        <v>1129.1500000000001</v>
      </c>
      <c r="F527" s="19">
        <v>1263.45</v>
      </c>
      <c r="G527" s="19">
        <v>1028.57</v>
      </c>
      <c r="H527" s="19">
        <v>1311.28</v>
      </c>
      <c r="I527" s="19">
        <v>1105.4000000000001</v>
      </c>
      <c r="J527" s="19">
        <v>1183.96</v>
      </c>
      <c r="K527" s="19">
        <v>1128</v>
      </c>
      <c r="L527" s="51">
        <v>1112</v>
      </c>
      <c r="M527" s="25">
        <v>1114</v>
      </c>
      <c r="N527" s="25"/>
      <c r="O527" s="20"/>
      <c r="P527" s="30"/>
      <c r="Q527" s="30"/>
      <c r="R527" s="30"/>
      <c r="S527" s="30"/>
      <c r="T527" s="30"/>
      <c r="U527" s="31"/>
      <c r="V527" s="30"/>
      <c r="W527" s="31"/>
      <c r="X527" s="30"/>
      <c r="Y527" s="31"/>
      <c r="Z527" s="30"/>
      <c r="AA527" s="31"/>
      <c r="AB527" s="30"/>
    </row>
    <row r="528" spans="1:28" x14ac:dyDescent="0.2">
      <c r="A528" s="22">
        <v>41579</v>
      </c>
      <c r="B528" s="18">
        <v>1245.8399999999999</v>
      </c>
      <c r="C528" s="19">
        <v>1551.35</v>
      </c>
      <c r="D528" s="19">
        <v>1225.01</v>
      </c>
      <c r="E528" s="19">
        <v>1138.1500000000001</v>
      </c>
      <c r="F528" s="19">
        <v>1263.45</v>
      </c>
      <c r="G528" s="19">
        <v>1028.57</v>
      </c>
      <c r="H528" s="19">
        <v>1300.28</v>
      </c>
      <c r="I528" s="19">
        <v>1110.4000000000001</v>
      </c>
      <c r="J528" s="19">
        <v>1183.96</v>
      </c>
      <c r="K528" s="19">
        <v>1128</v>
      </c>
      <c r="L528" s="51">
        <v>1112</v>
      </c>
      <c r="M528" s="25">
        <v>1114</v>
      </c>
      <c r="N528" s="25"/>
      <c r="O528" s="20"/>
      <c r="P528" s="30"/>
      <c r="Q528" s="30"/>
      <c r="R528" s="30"/>
      <c r="S528" s="30"/>
      <c r="T528" s="30"/>
      <c r="U528" s="31"/>
      <c r="V528" s="30"/>
      <c r="W528" s="31"/>
      <c r="X528" s="30"/>
      <c r="Y528" s="31"/>
      <c r="Z528" s="30"/>
      <c r="AA528" s="31"/>
      <c r="AB528" s="30"/>
    </row>
    <row r="529" spans="1:28" x14ac:dyDescent="0.2">
      <c r="A529" s="22">
        <v>41609</v>
      </c>
      <c r="B529" s="18">
        <v>1245.8399999999999</v>
      </c>
      <c r="C529" s="19">
        <v>1552.35</v>
      </c>
      <c r="D529" s="19">
        <v>1224.01</v>
      </c>
      <c r="E529" s="19">
        <v>1133.1500000000001</v>
      </c>
      <c r="F529" s="19">
        <v>1259.45</v>
      </c>
      <c r="G529" s="19">
        <v>1030.57</v>
      </c>
      <c r="H529" s="19">
        <v>1300.28</v>
      </c>
      <c r="I529" s="19">
        <v>1107.4000000000001</v>
      </c>
      <c r="J529" s="19">
        <v>1190.96</v>
      </c>
      <c r="K529" s="19">
        <v>1128</v>
      </c>
      <c r="L529" s="51">
        <v>1107</v>
      </c>
      <c r="M529" s="25">
        <v>1114</v>
      </c>
      <c r="N529" s="25"/>
      <c r="O529" s="20"/>
      <c r="P529" s="30"/>
      <c r="Q529" s="30"/>
      <c r="R529" s="30"/>
      <c r="S529" s="30"/>
      <c r="T529" s="30"/>
      <c r="U529" s="31"/>
      <c r="V529" s="30"/>
      <c r="W529" s="31"/>
      <c r="X529" s="30"/>
      <c r="Y529" s="31"/>
      <c r="Z529" s="30"/>
      <c r="AA529" s="31"/>
      <c r="AB529" s="30"/>
    </row>
    <row r="530" spans="1:28" x14ac:dyDescent="0.2">
      <c r="A530" s="22">
        <v>41640</v>
      </c>
      <c r="B530" s="18">
        <v>1234.8399999999999</v>
      </c>
      <c r="C530" s="19">
        <v>1553.35</v>
      </c>
      <c r="D530" s="19">
        <v>1222.01</v>
      </c>
      <c r="E530" s="19">
        <v>1129.1500000000001</v>
      </c>
      <c r="F530" s="19">
        <v>1258.45</v>
      </c>
      <c r="G530" s="19">
        <v>1028.57</v>
      </c>
      <c r="H530" s="19">
        <v>1309.28</v>
      </c>
      <c r="I530" s="19">
        <v>1123.4000000000001</v>
      </c>
      <c r="J530" s="19">
        <v>1191.96</v>
      </c>
      <c r="K530" s="19">
        <v>1127</v>
      </c>
      <c r="L530" s="51">
        <v>1113</v>
      </c>
      <c r="M530" s="25">
        <v>1113</v>
      </c>
      <c r="N530" s="25"/>
      <c r="O530" s="20"/>
      <c r="P530" s="30"/>
      <c r="Q530" s="30"/>
      <c r="R530" s="30"/>
      <c r="S530" s="30"/>
      <c r="T530" s="30" t="s">
        <v>29</v>
      </c>
      <c r="U530" s="31"/>
      <c r="V530" s="30"/>
      <c r="W530" s="31"/>
      <c r="X530" s="30"/>
      <c r="Y530" s="31"/>
      <c r="Z530" s="30"/>
      <c r="AA530" s="31"/>
      <c r="AB530" s="30"/>
    </row>
    <row r="531" spans="1:28" x14ac:dyDescent="0.2">
      <c r="A531" s="22">
        <v>41671</v>
      </c>
      <c r="B531" s="18">
        <v>1236.8399999999999</v>
      </c>
      <c r="C531" s="19">
        <v>1554.35</v>
      </c>
      <c r="D531" s="19">
        <v>1220.01</v>
      </c>
      <c r="E531" s="19">
        <v>1118.1500000000001</v>
      </c>
      <c r="F531" s="19">
        <v>1260.45</v>
      </c>
      <c r="G531" s="19">
        <v>1024.57</v>
      </c>
      <c r="H531" s="19">
        <v>1318.28</v>
      </c>
      <c r="I531" s="19">
        <v>1120.4000000000001</v>
      </c>
      <c r="J531" s="19">
        <v>1191.96</v>
      </c>
      <c r="K531" s="19">
        <v>1127</v>
      </c>
      <c r="L531" s="51">
        <v>1125</v>
      </c>
      <c r="M531" s="25">
        <v>1113</v>
      </c>
      <c r="N531" s="25"/>
      <c r="O531" s="20"/>
      <c r="P531" s="54"/>
      <c r="Q531" s="30" t="s">
        <v>26</v>
      </c>
      <c r="R531" s="30">
        <f>AVERAGE(L527:L538)</f>
        <v>1120.4166666666667</v>
      </c>
      <c r="S531" s="56">
        <v>6.04</v>
      </c>
      <c r="T531" s="56">
        <f>(R517-R531)/R517*100</f>
        <v>0.43690758293837517</v>
      </c>
      <c r="U531" s="31"/>
      <c r="V531" s="30"/>
      <c r="W531" s="31"/>
      <c r="X531" s="30"/>
      <c r="Y531" s="31"/>
      <c r="Z531" s="30"/>
      <c r="AA531" s="31"/>
      <c r="AB531" s="30"/>
    </row>
    <row r="532" spans="1:28" x14ac:dyDescent="0.2">
      <c r="A532" s="22">
        <v>41699</v>
      </c>
      <c r="B532" s="18">
        <v>1238.8399999999999</v>
      </c>
      <c r="C532" s="19">
        <v>1554.35</v>
      </c>
      <c r="D532" s="19">
        <v>1225.01</v>
      </c>
      <c r="E532" s="19">
        <v>1120.1500000000001</v>
      </c>
      <c r="F532" s="19">
        <v>1261.45</v>
      </c>
      <c r="G532" s="19">
        <v>1026.57</v>
      </c>
      <c r="H532" s="19">
        <v>1310.28</v>
      </c>
      <c r="I532" s="19">
        <v>1127.4000000000001</v>
      </c>
      <c r="J532" s="19">
        <v>1204.96</v>
      </c>
      <c r="K532" s="19">
        <v>1130</v>
      </c>
      <c r="L532" s="51">
        <v>1129</v>
      </c>
      <c r="M532" s="25">
        <v>1120</v>
      </c>
      <c r="N532" s="25"/>
      <c r="O532" s="20"/>
      <c r="P532" s="30"/>
      <c r="Q532" s="30"/>
      <c r="R532" s="30"/>
      <c r="S532" s="30"/>
      <c r="T532" s="30"/>
      <c r="U532" s="31"/>
      <c r="V532" s="30"/>
      <c r="W532" s="31"/>
      <c r="X532" s="30"/>
      <c r="Y532" s="31"/>
      <c r="Z532" s="30"/>
      <c r="AA532" s="31"/>
      <c r="AB532" s="30"/>
    </row>
    <row r="533" spans="1:28" x14ac:dyDescent="0.2">
      <c r="A533" s="22">
        <v>41730</v>
      </c>
      <c r="B533" s="18">
        <v>1238.8399999999999</v>
      </c>
      <c r="C533" s="19">
        <v>1547.35</v>
      </c>
      <c r="D533" s="19">
        <v>1231.01</v>
      </c>
      <c r="E533" s="19">
        <v>1116.1500000000001</v>
      </c>
      <c r="F533" s="19">
        <v>1261.45</v>
      </c>
      <c r="G533" s="19">
        <v>1027.57</v>
      </c>
      <c r="H533" s="19">
        <v>1308.28</v>
      </c>
      <c r="I533" s="19">
        <v>1124.4000000000001</v>
      </c>
      <c r="J533" s="19">
        <v>1192.96</v>
      </c>
      <c r="K533" s="19">
        <v>1115</v>
      </c>
      <c r="L533" s="51">
        <v>1127</v>
      </c>
      <c r="M533" s="25">
        <v>1120</v>
      </c>
      <c r="N533" s="25"/>
      <c r="O533" s="20"/>
      <c r="P533" s="30"/>
      <c r="Q533" s="30"/>
      <c r="R533" s="30"/>
      <c r="S533" s="30"/>
      <c r="T533" s="30"/>
      <c r="U533" s="31"/>
      <c r="V533" s="30"/>
      <c r="W533" s="31"/>
      <c r="X533" s="30"/>
      <c r="Y533" s="31"/>
      <c r="Z533" s="30"/>
      <c r="AA533" s="31"/>
      <c r="AB533" s="30"/>
    </row>
    <row r="534" spans="1:28" x14ac:dyDescent="0.2">
      <c r="A534" s="22">
        <v>41760</v>
      </c>
      <c r="B534" s="18">
        <v>1238.8399999999999</v>
      </c>
      <c r="C534" s="19">
        <v>1547.35</v>
      </c>
      <c r="D534" s="19">
        <v>1231.01</v>
      </c>
      <c r="E534" s="19">
        <v>1116.1500000000001</v>
      </c>
      <c r="F534" s="19">
        <v>1261.45</v>
      </c>
      <c r="G534" s="19">
        <v>1025.57</v>
      </c>
      <c r="H534" s="19">
        <v>1308.28</v>
      </c>
      <c r="I534" s="19">
        <v>1124.4000000000001</v>
      </c>
      <c r="J534" s="19">
        <v>1192.96</v>
      </c>
      <c r="K534" s="19">
        <v>1115</v>
      </c>
      <c r="L534" s="51">
        <v>1127</v>
      </c>
      <c r="M534" s="25">
        <v>1120</v>
      </c>
      <c r="N534" s="25"/>
      <c r="O534" s="20"/>
      <c r="P534" s="30"/>
      <c r="Q534" s="30"/>
      <c r="R534" s="30"/>
      <c r="S534" s="30"/>
      <c r="T534" s="30"/>
      <c r="U534" s="31"/>
      <c r="V534" s="30"/>
      <c r="W534" s="31"/>
      <c r="X534" s="30"/>
      <c r="Y534" s="31"/>
      <c r="Z534" s="30"/>
      <c r="AA534" s="31"/>
      <c r="AB534" s="30"/>
    </row>
    <row r="535" spans="1:28" x14ac:dyDescent="0.2">
      <c r="A535" s="22">
        <v>41791</v>
      </c>
      <c r="B535" s="18">
        <v>1241.8399999999999</v>
      </c>
      <c r="C535" s="19">
        <v>1547.35</v>
      </c>
      <c r="D535" s="19">
        <v>1232.01</v>
      </c>
      <c r="E535" s="19">
        <v>1110.1500000000001</v>
      </c>
      <c r="F535" s="19">
        <v>1255.45</v>
      </c>
      <c r="G535" s="19">
        <v>1025.57</v>
      </c>
      <c r="H535" s="19">
        <v>1306.28</v>
      </c>
      <c r="I535" s="19">
        <v>1120.4000000000001</v>
      </c>
      <c r="J535" s="19">
        <v>1192.96</v>
      </c>
      <c r="K535" s="19">
        <v>1114</v>
      </c>
      <c r="L535" s="51">
        <v>1124</v>
      </c>
      <c r="M535" s="25">
        <v>1106</v>
      </c>
      <c r="N535" s="25">
        <v>1134.6099999999999</v>
      </c>
      <c r="O535" s="20"/>
      <c r="P535" s="30"/>
      <c r="Q535" s="30"/>
      <c r="R535" s="30"/>
      <c r="S535" s="30"/>
      <c r="T535" s="30"/>
      <c r="U535" s="31"/>
      <c r="V535" s="30"/>
      <c r="W535" s="31"/>
      <c r="X535" s="30"/>
      <c r="Y535" s="31"/>
      <c r="Z535" s="30"/>
      <c r="AA535" s="31"/>
      <c r="AB535" s="30"/>
    </row>
    <row r="536" spans="1:28" x14ac:dyDescent="0.2">
      <c r="A536" s="22">
        <v>41821</v>
      </c>
      <c r="B536" s="18">
        <v>1240.8399999999999</v>
      </c>
      <c r="C536" s="19">
        <v>1558.35</v>
      </c>
      <c r="D536" s="19">
        <v>1208.01</v>
      </c>
      <c r="E536" s="19">
        <v>1103.1500000000001</v>
      </c>
      <c r="F536" s="19">
        <v>1259.45</v>
      </c>
      <c r="G536" s="19">
        <v>1027.57</v>
      </c>
      <c r="H536" s="19">
        <v>1308.28</v>
      </c>
      <c r="I536" s="19">
        <v>1125.4000000000001</v>
      </c>
      <c r="J536" s="19">
        <v>1185.96</v>
      </c>
      <c r="K536" s="19">
        <v>1130</v>
      </c>
      <c r="L536" s="51">
        <v>1121</v>
      </c>
      <c r="M536" s="25">
        <v>1108</v>
      </c>
      <c r="N536" s="25"/>
      <c r="O536" s="20"/>
      <c r="P536" s="30"/>
      <c r="Q536" s="30"/>
      <c r="R536" s="30"/>
      <c r="S536" s="30"/>
      <c r="T536" s="30"/>
      <c r="U536" s="31"/>
      <c r="V536" s="30"/>
      <c r="W536" s="31"/>
      <c r="X536" s="30"/>
      <c r="Y536" s="31"/>
      <c r="Z536" s="30"/>
      <c r="AA536" s="31"/>
      <c r="AB536" s="30"/>
    </row>
    <row r="537" spans="1:28" x14ac:dyDescent="0.2">
      <c r="A537" s="22">
        <v>41852</v>
      </c>
      <c r="B537" s="18">
        <v>1239.8399999999999</v>
      </c>
      <c r="C537" s="19">
        <v>1551.35</v>
      </c>
      <c r="D537" s="19">
        <v>1208.01</v>
      </c>
      <c r="E537" s="19">
        <v>1106.1500000000001</v>
      </c>
      <c r="F537" s="19">
        <v>1256.45</v>
      </c>
      <c r="G537" s="19">
        <v>1025.57</v>
      </c>
      <c r="H537" s="19">
        <v>1311.28</v>
      </c>
      <c r="I537" s="19">
        <v>1126.4000000000001</v>
      </c>
      <c r="J537" s="19">
        <v>1185.96</v>
      </c>
      <c r="K537" s="19">
        <v>1126</v>
      </c>
      <c r="L537" s="51">
        <v>1124</v>
      </c>
      <c r="M537" s="25">
        <v>1118</v>
      </c>
      <c r="N537" s="25">
        <v>1134.6099999999999</v>
      </c>
      <c r="O537" s="20"/>
      <c r="P537" s="30"/>
      <c r="Q537" s="30"/>
      <c r="R537" s="30"/>
      <c r="S537" s="30"/>
      <c r="T537" s="30"/>
      <c r="U537" s="31"/>
      <c r="V537" s="30"/>
      <c r="W537" s="31"/>
      <c r="X537" s="30"/>
      <c r="Y537" s="31"/>
      <c r="Z537" s="30"/>
      <c r="AA537" s="31"/>
      <c r="AB537" s="30"/>
    </row>
    <row r="538" spans="1:28" x14ac:dyDescent="0.2">
      <c r="A538" s="22">
        <v>41883</v>
      </c>
      <c r="B538" s="18">
        <v>1236.8399999999999</v>
      </c>
      <c r="C538" s="19">
        <v>1551.35</v>
      </c>
      <c r="D538" s="19">
        <v>1202.01</v>
      </c>
      <c r="E538" s="19">
        <v>1114.1500000000001</v>
      </c>
      <c r="F538" s="19">
        <v>1254.45</v>
      </c>
      <c r="G538" s="19">
        <v>1025.57</v>
      </c>
      <c r="H538" s="19">
        <v>1317.28</v>
      </c>
      <c r="I538" s="19">
        <v>1122.4000000000001</v>
      </c>
      <c r="J538" s="19">
        <v>1184.96</v>
      </c>
      <c r="K538" s="19">
        <v>1126</v>
      </c>
      <c r="L538" s="51">
        <v>1124</v>
      </c>
      <c r="M538" s="25">
        <v>1118</v>
      </c>
      <c r="N538" s="25">
        <v>1134.6099999999999</v>
      </c>
      <c r="O538" s="20"/>
      <c r="P538" s="30"/>
      <c r="Q538" s="30"/>
      <c r="R538" s="30"/>
      <c r="S538" s="30"/>
      <c r="T538" s="30"/>
      <c r="U538" s="31"/>
      <c r="V538" s="30"/>
      <c r="W538" s="31"/>
      <c r="X538" s="30"/>
      <c r="Y538" s="31"/>
      <c r="Z538" s="30"/>
      <c r="AA538" s="31"/>
      <c r="AB538" s="30"/>
    </row>
    <row r="539" spans="1:28" x14ac:dyDescent="0.2">
      <c r="A539" s="22">
        <v>41913</v>
      </c>
      <c r="B539" s="18">
        <v>1234.8399999999999</v>
      </c>
      <c r="C539" s="19">
        <v>1545.35</v>
      </c>
      <c r="D539" s="19">
        <v>1202.01</v>
      </c>
      <c r="E539" s="19">
        <v>1113.1500000000001</v>
      </c>
      <c r="F539" s="19">
        <v>1254.45</v>
      </c>
      <c r="G539" s="19">
        <v>1025.57</v>
      </c>
      <c r="H539" s="19">
        <v>1302.28</v>
      </c>
      <c r="I539" s="19">
        <v>1122.4000000000001</v>
      </c>
      <c r="J539" s="19">
        <v>1187.96</v>
      </c>
      <c r="K539" s="19">
        <v>1124</v>
      </c>
      <c r="L539" s="52">
        <v>1124</v>
      </c>
      <c r="M539" s="25">
        <v>1118</v>
      </c>
      <c r="N539" s="25"/>
      <c r="O539" s="20"/>
      <c r="P539" s="30"/>
      <c r="Q539" s="30"/>
      <c r="R539" s="30"/>
      <c r="S539" s="30"/>
      <c r="T539" s="30"/>
      <c r="U539" s="31"/>
      <c r="V539" s="30"/>
      <c r="W539" s="31"/>
      <c r="X539" s="30"/>
      <c r="Y539" s="31"/>
      <c r="Z539" s="30"/>
      <c r="AA539" s="31"/>
      <c r="AB539" s="30"/>
    </row>
    <row r="540" spans="1:28" x14ac:dyDescent="0.2">
      <c r="A540" s="22">
        <v>41944</v>
      </c>
      <c r="B540" s="18">
        <v>1234.8399999999999</v>
      </c>
      <c r="C540" s="19">
        <v>1545.35</v>
      </c>
      <c r="D540" s="19">
        <v>1202.01</v>
      </c>
      <c r="E540" s="19">
        <v>1113.1500000000001</v>
      </c>
      <c r="F540" s="19">
        <v>1254.45</v>
      </c>
      <c r="G540" s="19">
        <v>1025.57</v>
      </c>
      <c r="H540" s="19">
        <v>1302.28</v>
      </c>
      <c r="I540" s="19">
        <v>1122.4000000000001</v>
      </c>
      <c r="J540" s="19">
        <v>1187.96</v>
      </c>
      <c r="K540" s="19">
        <v>1124</v>
      </c>
      <c r="L540" s="52">
        <v>1124</v>
      </c>
      <c r="M540" s="25">
        <v>1118</v>
      </c>
      <c r="N540" s="25"/>
      <c r="O540" s="20"/>
      <c r="P540" s="30"/>
      <c r="Q540" s="30"/>
      <c r="R540" s="30"/>
      <c r="S540" s="30"/>
      <c r="T540" s="30"/>
      <c r="U540" s="31"/>
      <c r="V540" s="30"/>
      <c r="W540" s="31"/>
      <c r="X540" s="30"/>
      <c r="Y540" s="31"/>
      <c r="Z540" s="30"/>
      <c r="AA540" s="31"/>
      <c r="AB540" s="30"/>
    </row>
    <row r="541" spans="1:28" x14ac:dyDescent="0.2">
      <c r="A541" s="22">
        <v>41974</v>
      </c>
      <c r="B541" s="18">
        <v>1247.8399999999999</v>
      </c>
      <c r="C541" s="19">
        <v>1545.35</v>
      </c>
      <c r="D541" s="19">
        <v>1224.01</v>
      </c>
      <c r="E541" s="19">
        <v>1133.1500000000001</v>
      </c>
      <c r="F541" s="19">
        <v>1262.45</v>
      </c>
      <c r="G541" s="19">
        <v>1018.5699999999999</v>
      </c>
      <c r="H541" s="19">
        <v>1322.28</v>
      </c>
      <c r="I541" s="19">
        <v>1122.4000000000001</v>
      </c>
      <c r="J541" s="19">
        <v>1190.96</v>
      </c>
      <c r="K541" s="19">
        <v>1121</v>
      </c>
      <c r="L541" s="52">
        <v>1120</v>
      </c>
      <c r="M541" s="25">
        <v>1107</v>
      </c>
      <c r="N541" s="25"/>
      <c r="O541" s="20"/>
      <c r="P541" s="53"/>
      <c r="Q541" s="30" t="s">
        <v>27</v>
      </c>
      <c r="R541" s="30">
        <f>AVERAGE(L539:L550)</f>
        <v>1118.3333333333333</v>
      </c>
      <c r="S541" s="56">
        <v>11.24</v>
      </c>
      <c r="T541" s="56">
        <f>(R531-R541)/R531*100</f>
        <v>0.1859427296392846</v>
      </c>
      <c r="U541" s="31"/>
      <c r="V541" s="30"/>
      <c r="W541" s="31"/>
      <c r="X541" s="30"/>
      <c r="Y541" s="31"/>
      <c r="Z541" s="30"/>
      <c r="AA541" s="31"/>
      <c r="AB541" s="30"/>
    </row>
    <row r="542" spans="1:28" x14ac:dyDescent="0.2">
      <c r="A542" s="22">
        <v>42005</v>
      </c>
      <c r="B542" s="18">
        <v>1246.8399999999999</v>
      </c>
      <c r="C542" s="19">
        <v>1545.35</v>
      </c>
      <c r="D542" s="19">
        <v>1216.01</v>
      </c>
      <c r="E542" s="19">
        <v>1106.1500000000001</v>
      </c>
      <c r="F542" s="19">
        <v>1261.45</v>
      </c>
      <c r="G542" s="19">
        <v>1046.57</v>
      </c>
      <c r="H542" s="19">
        <v>1306.28</v>
      </c>
      <c r="I542" s="19">
        <v>1108.4000000000001</v>
      </c>
      <c r="J542" s="19">
        <v>1192.96</v>
      </c>
      <c r="K542" s="19">
        <v>1122</v>
      </c>
      <c r="L542" s="52">
        <v>1107</v>
      </c>
      <c r="M542" s="25">
        <v>1105</v>
      </c>
      <c r="N542" s="25"/>
      <c r="O542" s="20"/>
      <c r="P542" s="30"/>
      <c r="Q542" s="30"/>
      <c r="R542" s="30"/>
      <c r="S542" s="30"/>
      <c r="T542" s="30"/>
      <c r="U542" s="31"/>
      <c r="V542" s="30"/>
      <c r="W542" s="31"/>
      <c r="X542" s="30"/>
      <c r="Y542" s="31"/>
      <c r="Z542" s="30"/>
      <c r="AA542" s="31"/>
      <c r="AB542" s="30"/>
    </row>
    <row r="543" spans="1:28" x14ac:dyDescent="0.2">
      <c r="A543" s="22">
        <v>42036</v>
      </c>
      <c r="B543" s="18">
        <v>1245.8399999999999</v>
      </c>
      <c r="C543" s="19">
        <v>1545.35</v>
      </c>
      <c r="D543" s="19">
        <v>1214.01</v>
      </c>
      <c r="E543" s="19">
        <v>1106.1500000000001</v>
      </c>
      <c r="F543" s="19">
        <v>1261.45</v>
      </c>
      <c r="G543" s="19">
        <v>1041.57</v>
      </c>
      <c r="H543" s="19">
        <v>1304.28</v>
      </c>
      <c r="I543" s="19">
        <v>1120.4000000000001</v>
      </c>
      <c r="J543" s="19">
        <v>1188.96</v>
      </c>
      <c r="K543" s="19">
        <v>1124</v>
      </c>
      <c r="L543" s="52">
        <v>1118</v>
      </c>
      <c r="M543" s="25">
        <v>1105</v>
      </c>
      <c r="N543" s="25"/>
      <c r="O543" s="20"/>
      <c r="P543" s="30"/>
      <c r="Q543" s="30"/>
      <c r="R543" s="30"/>
      <c r="S543" s="30"/>
      <c r="T543" s="30"/>
      <c r="U543" s="31"/>
      <c r="V543" s="30"/>
      <c r="W543" s="31"/>
      <c r="X543" s="30"/>
      <c r="Y543" s="31"/>
      <c r="Z543" s="30"/>
      <c r="AA543" s="31"/>
      <c r="AB543" s="30"/>
    </row>
    <row r="544" spans="1:28" x14ac:dyDescent="0.2">
      <c r="A544" s="22">
        <v>42064</v>
      </c>
      <c r="B544" s="18">
        <v>1244.8399999999999</v>
      </c>
      <c r="C544" s="19">
        <v>1545.35</v>
      </c>
      <c r="D544" s="19">
        <v>1201.01</v>
      </c>
      <c r="E544" s="19">
        <v>1101.1500000000001</v>
      </c>
      <c r="F544" s="19">
        <v>1260.45</v>
      </c>
      <c r="G544" s="19">
        <v>1039.57</v>
      </c>
      <c r="H544" s="19">
        <v>1319.28</v>
      </c>
      <c r="I544" s="19">
        <v>1120.4000000000001</v>
      </c>
      <c r="J544" s="19">
        <v>1188.96</v>
      </c>
      <c r="K544" s="19">
        <v>1124</v>
      </c>
      <c r="L544" s="52">
        <v>1112</v>
      </c>
      <c r="M544" s="25">
        <v>1105</v>
      </c>
      <c r="N544" s="25"/>
      <c r="O544" s="20"/>
      <c r="P544" s="30"/>
      <c r="Q544" s="30"/>
      <c r="R544" s="30"/>
      <c r="S544" s="30"/>
      <c r="T544" s="30"/>
      <c r="U544" s="31"/>
      <c r="V544" s="30"/>
      <c r="W544" s="31"/>
      <c r="X544" s="30"/>
      <c r="Y544" s="31"/>
      <c r="Z544" s="30"/>
      <c r="AA544" s="31"/>
      <c r="AB544" s="30"/>
    </row>
    <row r="545" spans="1:28" x14ac:dyDescent="0.2">
      <c r="A545" s="22">
        <v>42095</v>
      </c>
      <c r="B545" s="18">
        <v>1246.8399999999999</v>
      </c>
      <c r="C545" s="19">
        <v>1545.35</v>
      </c>
      <c r="D545" s="19">
        <v>1199.01</v>
      </c>
      <c r="E545" s="19">
        <v>1109.1500000000001</v>
      </c>
      <c r="F545" s="19">
        <v>1262.45</v>
      </c>
      <c r="G545" s="19">
        <v>1016.5699999999999</v>
      </c>
      <c r="H545" s="19">
        <v>1319.28</v>
      </c>
      <c r="I545" s="19">
        <v>1115.4000000000001</v>
      </c>
      <c r="J545" s="19">
        <v>1177.96</v>
      </c>
      <c r="K545" s="19">
        <v>1124</v>
      </c>
      <c r="L545" s="52">
        <v>1117</v>
      </c>
      <c r="M545" s="25">
        <v>1105</v>
      </c>
      <c r="N545" s="25"/>
      <c r="O545" s="20"/>
      <c r="P545" s="30"/>
      <c r="Q545" s="30"/>
      <c r="R545" s="30"/>
      <c r="S545" s="30"/>
      <c r="T545" s="30"/>
      <c r="U545" s="31"/>
      <c r="V545" s="30"/>
      <c r="W545" s="31"/>
      <c r="X545" s="30"/>
      <c r="Y545" s="31"/>
      <c r="Z545" s="30"/>
      <c r="AA545" s="31"/>
      <c r="AB545" s="30"/>
    </row>
    <row r="546" spans="1:28" x14ac:dyDescent="0.2">
      <c r="A546" s="22">
        <v>42125</v>
      </c>
      <c r="B546" s="18">
        <v>1244.8399999999999</v>
      </c>
      <c r="C546" s="19">
        <v>1545.35</v>
      </c>
      <c r="D546" s="19">
        <v>1197.01</v>
      </c>
      <c r="E546" s="19">
        <v>1107.1500000000001</v>
      </c>
      <c r="F546" s="19">
        <v>1260.45</v>
      </c>
      <c r="G546" s="19">
        <v>1012.5699999999999</v>
      </c>
      <c r="H546" s="19">
        <v>1317.28</v>
      </c>
      <c r="I546" s="19">
        <v>1113.4000000000001</v>
      </c>
      <c r="J546" s="19">
        <v>1174.96</v>
      </c>
      <c r="K546" s="19">
        <v>1121</v>
      </c>
      <c r="L546" s="52">
        <v>1115</v>
      </c>
      <c r="M546" s="25">
        <v>1105</v>
      </c>
      <c r="N546" s="25"/>
      <c r="O546" s="20"/>
      <c r="P546" s="30"/>
      <c r="Q546" s="30"/>
      <c r="R546" s="30"/>
      <c r="S546" s="30"/>
      <c r="T546" s="30"/>
      <c r="U546" s="31"/>
      <c r="V546" s="30"/>
      <c r="W546" s="31"/>
      <c r="X546" s="30"/>
      <c r="Y546" s="31"/>
      <c r="Z546" s="30"/>
      <c r="AA546" s="31"/>
      <c r="AB546" s="30"/>
    </row>
    <row r="547" spans="1:28" x14ac:dyDescent="0.2">
      <c r="A547" s="22">
        <v>42156</v>
      </c>
      <c r="B547" s="18">
        <v>1240.8399999999999</v>
      </c>
      <c r="C547" s="19">
        <v>1545.35</v>
      </c>
      <c r="D547" s="19">
        <v>1197.01</v>
      </c>
      <c r="E547" s="19">
        <v>1113.1500000000001</v>
      </c>
      <c r="F547" s="19">
        <v>1257.45</v>
      </c>
      <c r="G547" s="19">
        <v>1026.57</v>
      </c>
      <c r="H547" s="19">
        <v>1318.28</v>
      </c>
      <c r="I547" s="19">
        <v>1114.4000000000001</v>
      </c>
      <c r="J547" s="19">
        <v>1177.96</v>
      </c>
      <c r="K547" s="19">
        <v>1094</v>
      </c>
      <c r="L547" s="52">
        <v>1122</v>
      </c>
      <c r="M547" s="25">
        <v>1104</v>
      </c>
      <c r="N547" s="25"/>
      <c r="O547" s="20"/>
      <c r="P547" s="30"/>
      <c r="Q547" s="30"/>
      <c r="R547" s="30"/>
      <c r="S547" s="30"/>
      <c r="T547" s="30"/>
      <c r="U547" s="31"/>
      <c r="V547" s="30"/>
      <c r="W547" s="31"/>
      <c r="X547" s="30"/>
      <c r="Y547" s="31"/>
      <c r="Z547" s="30"/>
      <c r="AA547" s="31"/>
      <c r="AB547" s="30"/>
    </row>
    <row r="548" spans="1:28" x14ac:dyDescent="0.2">
      <c r="A548" s="22">
        <v>42186</v>
      </c>
      <c r="B548" s="18">
        <v>1242.8399999999999</v>
      </c>
      <c r="C548" s="19">
        <v>1545.35</v>
      </c>
      <c r="D548" s="19">
        <v>1192.01</v>
      </c>
      <c r="E548" s="19">
        <v>1110.1500000000001</v>
      </c>
      <c r="F548" s="19">
        <v>1259.45</v>
      </c>
      <c r="G548" s="19">
        <v>1026.57</v>
      </c>
      <c r="H548" s="19">
        <v>1319.28</v>
      </c>
      <c r="I548" s="19">
        <v>1119.4000000000001</v>
      </c>
      <c r="J548" s="19">
        <v>1175.96</v>
      </c>
      <c r="K548" s="19">
        <v>1093</v>
      </c>
      <c r="L548" s="52">
        <v>1121</v>
      </c>
      <c r="M548" s="25">
        <v>1105</v>
      </c>
      <c r="N548" s="25">
        <v>1126.6099999999999</v>
      </c>
      <c r="O548" s="20"/>
      <c r="P548" s="30"/>
      <c r="Q548" s="30"/>
      <c r="R548" s="30"/>
      <c r="S548" s="30"/>
      <c r="T548" s="30"/>
      <c r="U548" s="31"/>
      <c r="V548" s="30"/>
      <c r="W548" s="31"/>
      <c r="X548" s="30"/>
      <c r="Y548" s="31"/>
      <c r="Z548" s="30"/>
      <c r="AA548" s="31"/>
      <c r="AB548" s="30"/>
    </row>
    <row r="549" spans="1:28" x14ac:dyDescent="0.2">
      <c r="A549" s="22">
        <v>42217</v>
      </c>
      <c r="B549" s="18">
        <v>1241.8399999999999</v>
      </c>
      <c r="C549" s="19">
        <v>1545.35</v>
      </c>
      <c r="D549" s="19">
        <v>1193.01</v>
      </c>
      <c r="E549" s="19">
        <v>1106.1500000000001</v>
      </c>
      <c r="F549" s="19">
        <v>1254.45</v>
      </c>
      <c r="G549" s="19">
        <v>1024.57</v>
      </c>
      <c r="H549" s="19">
        <v>1316.28</v>
      </c>
      <c r="I549" s="19">
        <v>1116.4000000000001</v>
      </c>
      <c r="J549" s="19">
        <v>1176.96</v>
      </c>
      <c r="K549" s="19">
        <v>1093</v>
      </c>
      <c r="L549" s="52">
        <v>1119</v>
      </c>
      <c r="M549" s="25">
        <v>1105</v>
      </c>
      <c r="N549" s="25"/>
      <c r="O549" s="20"/>
      <c r="P549" s="30"/>
      <c r="Q549" s="30"/>
      <c r="R549" s="30"/>
      <c r="S549" s="30"/>
      <c r="T549" s="30"/>
      <c r="U549" s="31"/>
      <c r="V549" s="30"/>
      <c r="W549" s="31"/>
      <c r="X549" s="30"/>
      <c r="Y549" s="31"/>
      <c r="Z549" s="30"/>
      <c r="AA549" s="31"/>
      <c r="AB549" s="30"/>
    </row>
    <row r="550" spans="1:28" x14ac:dyDescent="0.2">
      <c r="A550" s="22">
        <v>42248</v>
      </c>
      <c r="B550" s="18">
        <v>1239.8399999999999</v>
      </c>
      <c r="C550" s="19">
        <v>1545.35</v>
      </c>
      <c r="D550" s="19">
        <v>1193.01</v>
      </c>
      <c r="E550" s="19">
        <v>1111.1500000000001</v>
      </c>
      <c r="F550" s="19">
        <v>1255.45</v>
      </c>
      <c r="G550" s="19">
        <v>1019.5699999999999</v>
      </c>
      <c r="H550" s="19">
        <v>1316.28</v>
      </c>
      <c r="I550" s="19">
        <v>1116.4000000000001</v>
      </c>
      <c r="J550" s="19">
        <v>1178.96</v>
      </c>
      <c r="K550" s="19">
        <v>1093</v>
      </c>
      <c r="L550" s="52">
        <v>1121</v>
      </c>
      <c r="M550" s="25">
        <v>1103</v>
      </c>
      <c r="N550" s="25"/>
      <c r="O550" s="20"/>
      <c r="P550" s="30"/>
      <c r="Q550" s="30"/>
      <c r="R550" s="30"/>
      <c r="S550" s="30"/>
      <c r="T550" s="30"/>
      <c r="U550" s="31"/>
      <c r="V550" s="30"/>
      <c r="W550" s="31"/>
      <c r="X550" s="30"/>
      <c r="Y550" s="31"/>
      <c r="Z550" s="30"/>
      <c r="AA550" s="31"/>
      <c r="AB550" s="30"/>
    </row>
    <row r="551" spans="1:28" x14ac:dyDescent="0.2">
      <c r="A551" s="22">
        <v>42278</v>
      </c>
      <c r="B551" s="18">
        <v>1239.8399999999999</v>
      </c>
      <c r="C551" s="19">
        <v>1545.35</v>
      </c>
      <c r="D551" s="19">
        <v>1196.01</v>
      </c>
      <c r="E551" s="19">
        <v>1110.1500000000001</v>
      </c>
      <c r="F551" s="19">
        <v>1259.45</v>
      </c>
      <c r="G551" s="19">
        <v>1020.5699999999999</v>
      </c>
      <c r="H551" s="19">
        <v>1316.28</v>
      </c>
      <c r="I551" s="19">
        <v>1117.4000000000001</v>
      </c>
      <c r="J551" s="19">
        <v>1176.96</v>
      </c>
      <c r="K551" s="19">
        <v>1093</v>
      </c>
      <c r="L551" s="19">
        <v>1122</v>
      </c>
      <c r="M551" s="25">
        <v>1103</v>
      </c>
      <c r="N551" s="25"/>
      <c r="O551" s="20"/>
      <c r="P551" s="30"/>
      <c r="Q551" s="30"/>
      <c r="R551" s="30"/>
      <c r="S551" s="30"/>
      <c r="T551" s="30"/>
      <c r="U551" s="31"/>
      <c r="V551" s="30"/>
      <c r="W551" s="31"/>
      <c r="X551" s="30"/>
      <c r="Y551" s="31"/>
      <c r="Z551" s="30"/>
      <c r="AA551" s="31"/>
      <c r="AB551" s="30"/>
    </row>
    <row r="552" spans="1:28" x14ac:dyDescent="0.2">
      <c r="A552" s="22">
        <v>42309</v>
      </c>
      <c r="B552" s="18">
        <v>1237.8399999999999</v>
      </c>
      <c r="C552" s="19">
        <v>1545.35</v>
      </c>
      <c r="D552" s="19">
        <v>1196.01</v>
      </c>
      <c r="E552" s="19">
        <v>1110.1500000000001</v>
      </c>
      <c r="F552" s="19">
        <v>1259.45</v>
      </c>
      <c r="G552" s="19">
        <v>1019.5699999999999</v>
      </c>
      <c r="H552" s="19">
        <v>1315.28</v>
      </c>
      <c r="I552" s="19">
        <v>1116.4000000000001</v>
      </c>
      <c r="J552" s="19">
        <v>1176.96</v>
      </c>
      <c r="K552" s="19">
        <v>1093</v>
      </c>
      <c r="L552" s="19">
        <v>1121</v>
      </c>
      <c r="M552" s="25">
        <v>1103</v>
      </c>
      <c r="N552" s="25"/>
      <c r="O552" s="20"/>
      <c r="P552" s="30"/>
      <c r="Q552" s="30"/>
      <c r="R552" s="30"/>
      <c r="S552" s="30"/>
      <c r="T552" s="30"/>
      <c r="U552" s="31"/>
      <c r="V552" s="30"/>
      <c r="W552" s="31"/>
      <c r="X552" s="30"/>
      <c r="Y552" s="31"/>
      <c r="Z552" s="30"/>
      <c r="AA552" s="31"/>
      <c r="AB552" s="30"/>
    </row>
    <row r="553" spans="1:28" x14ac:dyDescent="0.2">
      <c r="A553" s="22">
        <v>42339</v>
      </c>
      <c r="B553" s="18">
        <v>1236.8399999999999</v>
      </c>
      <c r="C553" s="19">
        <v>1545.35</v>
      </c>
      <c r="D553" s="19">
        <v>1195.01</v>
      </c>
      <c r="E553" s="19">
        <v>1110.1500000000001</v>
      </c>
      <c r="F553" s="19">
        <v>1259.45</v>
      </c>
      <c r="G553" s="19">
        <v>1036.57</v>
      </c>
      <c r="H553" s="19">
        <v>1314.28</v>
      </c>
      <c r="I553" s="19">
        <v>1114.4000000000001</v>
      </c>
      <c r="J553" s="19">
        <v>1174.96</v>
      </c>
      <c r="K553" s="19">
        <v>1093</v>
      </c>
      <c r="L553" s="19">
        <v>1139</v>
      </c>
      <c r="M553" s="25">
        <v>1103</v>
      </c>
      <c r="N553" s="25"/>
      <c r="O553" s="20"/>
      <c r="P553" s="30"/>
      <c r="Q553" s="30"/>
      <c r="R553" s="30"/>
      <c r="S553" s="30"/>
      <c r="T553" s="30"/>
      <c r="U553" s="31"/>
      <c r="V553" s="30"/>
      <c r="W553" s="31"/>
      <c r="X553" s="30"/>
      <c r="Y553" s="31"/>
      <c r="Z553" s="30"/>
      <c r="AA553" s="31"/>
      <c r="AB553" s="30"/>
    </row>
    <row r="554" spans="1:28" x14ac:dyDescent="0.2">
      <c r="A554" s="22">
        <v>42370</v>
      </c>
      <c r="B554" s="18">
        <v>1249.8399999999999</v>
      </c>
      <c r="C554" s="19">
        <v>1594.35</v>
      </c>
      <c r="D554" s="19">
        <v>1193.01</v>
      </c>
      <c r="E554" s="19">
        <v>1109.1500000000001</v>
      </c>
      <c r="F554" s="19">
        <v>1258.45</v>
      </c>
      <c r="G554" s="19">
        <v>1037.57</v>
      </c>
      <c r="H554" s="19">
        <v>1315.28</v>
      </c>
      <c r="I554" s="19">
        <v>1115.4000000000001</v>
      </c>
      <c r="J554" s="19">
        <v>1172.96</v>
      </c>
      <c r="K554" s="19">
        <v>1093</v>
      </c>
      <c r="L554" s="19">
        <v>1138</v>
      </c>
      <c r="M554" s="25">
        <v>1106</v>
      </c>
      <c r="N554" s="25"/>
      <c r="O554" s="20"/>
      <c r="P554" s="30"/>
      <c r="Q554" s="30"/>
      <c r="R554" s="30"/>
      <c r="S554" s="30"/>
      <c r="T554" s="30"/>
      <c r="U554" s="31"/>
      <c r="V554" s="30"/>
      <c r="W554" s="31"/>
      <c r="X554" s="30"/>
      <c r="Y554" s="31"/>
      <c r="Z554" s="30"/>
      <c r="AA554" s="31"/>
      <c r="AB554" s="30"/>
    </row>
    <row r="555" spans="1:28" x14ac:dyDescent="0.2">
      <c r="A555" s="22">
        <v>42401</v>
      </c>
      <c r="B555" s="18">
        <v>1248.8399999999999</v>
      </c>
      <c r="C555" s="19">
        <v>1594.35</v>
      </c>
      <c r="D555" s="19">
        <v>1195.01</v>
      </c>
      <c r="E555" s="19">
        <v>1107.1500000000001</v>
      </c>
      <c r="F555" s="19">
        <v>1256.45</v>
      </c>
      <c r="G555" s="19">
        <v>1032.57</v>
      </c>
      <c r="H555" s="19">
        <v>1314.28</v>
      </c>
      <c r="I555" s="19">
        <v>1117.4000000000001</v>
      </c>
      <c r="J555" s="19">
        <v>1172.96</v>
      </c>
      <c r="K555" s="19">
        <v>1096</v>
      </c>
      <c r="L555" s="19">
        <v>1135</v>
      </c>
      <c r="M555" s="25">
        <v>1106</v>
      </c>
      <c r="N555" s="25">
        <v>1125.6099999999999</v>
      </c>
      <c r="O555" s="20"/>
      <c r="P555" s="30"/>
      <c r="Q555" s="30"/>
      <c r="R555" s="30"/>
      <c r="S555" s="30"/>
      <c r="T555" s="30"/>
      <c r="U555" s="31"/>
      <c r="V555" s="30"/>
      <c r="W555" s="31"/>
      <c r="X555" s="30"/>
      <c r="Y555" s="31"/>
      <c r="Z555" s="30"/>
      <c r="AA555" s="31"/>
      <c r="AB555" s="30"/>
    </row>
    <row r="556" spans="1:28" x14ac:dyDescent="0.2">
      <c r="A556" s="22">
        <v>42430</v>
      </c>
      <c r="B556" s="18">
        <v>1244.8399999999999</v>
      </c>
      <c r="C556" s="19">
        <v>1594.35</v>
      </c>
      <c r="D556" s="19">
        <v>1196.01</v>
      </c>
      <c r="E556" s="19">
        <v>1104.1500000000001</v>
      </c>
      <c r="F556" s="19">
        <v>1254.45</v>
      </c>
      <c r="G556" s="19">
        <v>1028.57</v>
      </c>
      <c r="H556" s="19">
        <v>1313.28</v>
      </c>
      <c r="I556" s="19">
        <v>1113.4000000000001</v>
      </c>
      <c r="J556" s="19">
        <v>1184.96</v>
      </c>
      <c r="K556" s="19">
        <v>1103</v>
      </c>
      <c r="L556" s="19">
        <v>1120</v>
      </c>
      <c r="M556" s="25">
        <v>1226</v>
      </c>
      <c r="N556" s="25">
        <v>1107.6099999999999</v>
      </c>
      <c r="O556" s="20"/>
      <c r="P556" s="30"/>
      <c r="Q556" s="30"/>
      <c r="R556" s="30"/>
      <c r="S556" s="30"/>
      <c r="T556" s="30"/>
      <c r="U556" s="31"/>
      <c r="V556" s="30"/>
      <c r="W556" s="31"/>
      <c r="X556" s="30"/>
      <c r="Y556" s="31"/>
      <c r="Z556" s="30"/>
      <c r="AA556" s="31"/>
      <c r="AB556" s="30"/>
    </row>
    <row r="557" spans="1:28" x14ac:dyDescent="0.2">
      <c r="A557" s="22">
        <v>42461</v>
      </c>
      <c r="B557" s="18">
        <v>1230.8399999999999</v>
      </c>
      <c r="C557" s="19">
        <v>1540.35</v>
      </c>
      <c r="D557" s="19">
        <v>1191.01</v>
      </c>
      <c r="E557" s="19">
        <v>1101.1500000000001</v>
      </c>
      <c r="F557" s="19">
        <v>1253.45</v>
      </c>
      <c r="G557" s="19">
        <v>1028.57</v>
      </c>
      <c r="H557" s="19">
        <v>1315.28</v>
      </c>
      <c r="I557" s="19">
        <v>1113.4000000000001</v>
      </c>
      <c r="J557" s="19">
        <v>1184.96</v>
      </c>
      <c r="K557" s="19">
        <v>1108</v>
      </c>
      <c r="L557" s="19">
        <v>1120</v>
      </c>
      <c r="M557" s="25">
        <v>1226</v>
      </c>
      <c r="N557" s="25">
        <v>1106.6099999999999</v>
      </c>
      <c r="O557" s="20"/>
      <c r="P557" s="30"/>
      <c r="Q557" s="30"/>
      <c r="R557" s="30"/>
      <c r="S557" s="30"/>
      <c r="T557" s="30"/>
      <c r="U557" s="31"/>
      <c r="V557" s="30"/>
      <c r="W557" s="31"/>
      <c r="X557" s="30"/>
      <c r="Y557" s="31"/>
      <c r="Z557" s="30"/>
      <c r="AA557" s="31"/>
      <c r="AB557" s="30"/>
    </row>
    <row r="558" spans="1:28" x14ac:dyDescent="0.2">
      <c r="A558" s="22">
        <v>42491</v>
      </c>
      <c r="B558" s="18">
        <v>1233.8399999999999</v>
      </c>
      <c r="C558" s="19">
        <v>1594.35</v>
      </c>
      <c r="D558" s="19">
        <v>1199.01</v>
      </c>
      <c r="E558" s="19">
        <v>1103.1500000000001</v>
      </c>
      <c r="F558" s="19">
        <v>1255.45</v>
      </c>
      <c r="G558" s="19">
        <v>1019.5699999999999</v>
      </c>
      <c r="H558" s="19">
        <v>1316.28</v>
      </c>
      <c r="I558" s="19">
        <v>1110.4000000000001</v>
      </c>
      <c r="J558" s="19">
        <v>1183.96</v>
      </c>
      <c r="K558" s="19">
        <v>1108</v>
      </c>
      <c r="L558" s="19">
        <v>1120</v>
      </c>
      <c r="M558" s="25">
        <v>1095</v>
      </c>
      <c r="N558" s="25">
        <v>1095.6099999999999</v>
      </c>
      <c r="O558" s="20"/>
      <c r="P558" s="30"/>
      <c r="Q558" s="30"/>
      <c r="R558" s="30"/>
      <c r="S558" s="30"/>
      <c r="T558" s="30"/>
      <c r="U558" s="31"/>
      <c r="V558" s="30"/>
      <c r="W558" s="31"/>
      <c r="X558" s="30"/>
      <c r="Y558" s="31"/>
      <c r="Z558" s="30"/>
      <c r="AA558" s="31"/>
      <c r="AB558" s="30"/>
    </row>
    <row r="559" spans="1:28" x14ac:dyDescent="0.2">
      <c r="A559" s="22">
        <v>42522</v>
      </c>
      <c r="B559" s="18"/>
      <c r="C559" s="19"/>
      <c r="D559" s="19"/>
      <c r="E559" s="19"/>
      <c r="F559" s="19"/>
      <c r="G559" s="19"/>
      <c r="H559" s="19"/>
      <c r="I559" s="19"/>
      <c r="J559" s="19"/>
      <c r="K559" s="19"/>
      <c r="L559" s="19"/>
      <c r="M559" s="25"/>
      <c r="N559" s="25"/>
      <c r="O559" s="20"/>
      <c r="P559" s="30"/>
      <c r="Q559" s="30"/>
      <c r="R559" s="30"/>
      <c r="S559" s="30"/>
      <c r="T559" s="30"/>
      <c r="U559" s="31"/>
      <c r="V559" s="30"/>
      <c r="W559" s="31"/>
      <c r="X559" s="30"/>
      <c r="Y559" s="31"/>
      <c r="Z559" s="30"/>
      <c r="AA559" s="31"/>
      <c r="AB559" s="30"/>
    </row>
    <row r="560" spans="1:28" x14ac:dyDescent="0.2">
      <c r="A560" s="22">
        <v>42552</v>
      </c>
      <c r="B560" s="18"/>
      <c r="C560" s="19"/>
      <c r="D560" s="19"/>
      <c r="E560" s="19"/>
      <c r="F560" s="19"/>
      <c r="G560" s="19"/>
      <c r="H560" s="19"/>
      <c r="I560" s="19"/>
      <c r="J560" s="19"/>
      <c r="K560" s="19"/>
      <c r="L560" s="19"/>
      <c r="M560" s="25"/>
      <c r="N560" s="25"/>
      <c r="O560" s="20"/>
      <c r="P560" s="30"/>
      <c r="Q560" s="30"/>
      <c r="R560" s="30"/>
      <c r="S560" s="30"/>
      <c r="T560" s="30"/>
      <c r="U560" s="31"/>
      <c r="V560" s="30"/>
      <c r="W560" s="31"/>
      <c r="X560" s="30"/>
      <c r="Y560" s="31"/>
      <c r="Z560" s="30"/>
      <c r="AA560" s="31"/>
      <c r="AB560" s="30"/>
    </row>
    <row r="561" spans="1:28" x14ac:dyDescent="0.2">
      <c r="A561" s="22">
        <v>42583</v>
      </c>
      <c r="B561" s="18"/>
      <c r="C561" s="19"/>
      <c r="D561" s="19"/>
      <c r="E561" s="19"/>
      <c r="F561" s="19"/>
      <c r="G561" s="19"/>
      <c r="H561" s="19"/>
      <c r="I561" s="19"/>
      <c r="J561" s="19"/>
      <c r="K561" s="19"/>
      <c r="L561" s="19"/>
      <c r="M561" s="25"/>
      <c r="N561" s="25"/>
      <c r="O561" s="20"/>
      <c r="P561" s="30"/>
      <c r="Q561" s="30"/>
      <c r="R561" s="30"/>
      <c r="S561" s="30"/>
      <c r="T561" s="30"/>
      <c r="U561" s="31"/>
      <c r="V561" s="30"/>
      <c r="W561" s="31"/>
      <c r="X561" s="30"/>
      <c r="Y561" s="31"/>
      <c r="Z561" s="30"/>
      <c r="AA561" s="31"/>
      <c r="AB561" s="30"/>
    </row>
    <row r="562" spans="1:28" x14ac:dyDescent="0.2">
      <c r="A562" s="22">
        <v>42614</v>
      </c>
      <c r="B562" s="18"/>
      <c r="C562" s="19"/>
      <c r="D562" s="19"/>
      <c r="E562" s="19"/>
      <c r="F562" s="19"/>
      <c r="G562" s="19"/>
      <c r="H562" s="19"/>
      <c r="I562" s="19"/>
      <c r="J562" s="19"/>
      <c r="K562" s="19"/>
      <c r="L562" s="19"/>
      <c r="M562" s="25"/>
      <c r="N562" s="25"/>
      <c r="O562" s="20"/>
      <c r="P562" s="30"/>
      <c r="Q562" s="30"/>
      <c r="R562" s="30"/>
      <c r="S562" s="30"/>
      <c r="T562" s="30"/>
      <c r="U562" s="31"/>
      <c r="V562" s="30"/>
      <c r="W562" s="31"/>
      <c r="X562" s="30"/>
      <c r="Y562" s="31"/>
      <c r="Z562" s="30"/>
      <c r="AA562" s="31"/>
      <c r="AB562" s="30"/>
    </row>
    <row r="563" spans="1:28" x14ac:dyDescent="0.2">
      <c r="A563" s="22">
        <v>42644</v>
      </c>
      <c r="B563" s="18"/>
      <c r="C563" s="19"/>
      <c r="D563" s="19"/>
      <c r="E563" s="19"/>
      <c r="F563" s="19"/>
      <c r="G563" s="19"/>
      <c r="H563" s="19"/>
      <c r="I563" s="19"/>
      <c r="J563" s="19"/>
      <c r="K563" s="19"/>
      <c r="L563" s="19"/>
      <c r="M563" s="25"/>
      <c r="N563" s="25"/>
      <c r="O563" s="20"/>
      <c r="P563" s="30"/>
      <c r="Q563" s="30"/>
      <c r="R563" s="30"/>
      <c r="S563" s="30"/>
      <c r="T563" s="30"/>
      <c r="U563" s="31"/>
      <c r="V563" s="30"/>
      <c r="W563" s="31"/>
      <c r="X563" s="30"/>
      <c r="Y563" s="31"/>
      <c r="Z563" s="30"/>
      <c r="AA563" s="31"/>
      <c r="AB563" s="30"/>
    </row>
    <row r="564" spans="1:28" x14ac:dyDescent="0.2">
      <c r="A564" s="22">
        <v>42675</v>
      </c>
      <c r="B564" s="18"/>
      <c r="C564" s="19"/>
      <c r="D564" s="19"/>
      <c r="E564" s="19"/>
      <c r="F564" s="19"/>
      <c r="G564" s="19"/>
      <c r="H564" s="19"/>
      <c r="I564" s="19"/>
      <c r="J564" s="19"/>
      <c r="K564" s="19"/>
      <c r="L564" s="19"/>
      <c r="M564" s="25"/>
      <c r="N564" s="25"/>
      <c r="O564" s="20"/>
      <c r="P564" s="30"/>
      <c r="Q564" s="30"/>
      <c r="R564" s="30"/>
      <c r="S564" s="30"/>
      <c r="T564" s="30"/>
      <c r="U564" s="31"/>
      <c r="V564" s="30"/>
      <c r="W564" s="31"/>
      <c r="X564" s="30"/>
      <c r="Y564" s="31"/>
      <c r="Z564" s="30"/>
      <c r="AA564" s="31"/>
      <c r="AB564" s="30"/>
    </row>
    <row r="565" spans="1:28" x14ac:dyDescent="0.2">
      <c r="A565" s="22">
        <v>42705</v>
      </c>
      <c r="B565" s="18"/>
      <c r="C565" s="19"/>
      <c r="D565" s="19"/>
      <c r="E565" s="19"/>
      <c r="F565" s="19"/>
      <c r="G565" s="19"/>
      <c r="H565" s="19"/>
      <c r="I565" s="19"/>
      <c r="J565" s="19"/>
      <c r="K565" s="19"/>
      <c r="L565" s="19"/>
      <c r="M565" s="25"/>
      <c r="N565" s="25"/>
      <c r="O565" s="20"/>
      <c r="P565" s="30"/>
      <c r="Q565" s="30"/>
      <c r="R565" s="30"/>
      <c r="S565" s="30"/>
      <c r="T565" s="30"/>
      <c r="U565" s="31"/>
      <c r="V565" s="30"/>
      <c r="W565" s="31"/>
      <c r="X565" s="30"/>
      <c r="Y565" s="31"/>
      <c r="Z565" s="30"/>
      <c r="AA565" s="31"/>
      <c r="AB565" s="30"/>
    </row>
    <row r="566" spans="1:28" ht="13.5" thickBot="1" x14ac:dyDescent="0.25">
      <c r="A566" s="34">
        <v>42736</v>
      </c>
      <c r="B566" s="35"/>
      <c r="C566" s="36"/>
      <c r="D566" s="36"/>
      <c r="E566" s="36"/>
      <c r="F566" s="36"/>
      <c r="G566" s="36"/>
      <c r="H566" s="36"/>
      <c r="I566" s="36"/>
      <c r="J566" s="36"/>
      <c r="K566" s="36"/>
      <c r="L566" s="36"/>
      <c r="M566" s="37"/>
      <c r="N566" s="37"/>
      <c r="O566" s="38"/>
      <c r="P566" s="30"/>
      <c r="Q566" s="30"/>
      <c r="R566" s="30"/>
      <c r="S566" s="30"/>
      <c r="T566" s="30"/>
      <c r="U566" s="31"/>
      <c r="V566" s="30"/>
      <c r="W566" s="31"/>
      <c r="X566" s="30"/>
      <c r="Y566" s="31"/>
      <c r="Z566" s="30"/>
      <c r="AA566" s="31"/>
      <c r="AB566" s="30"/>
    </row>
    <row r="567" spans="1:28" x14ac:dyDescent="0.2">
      <c r="A567" s="39" t="s">
        <v>22</v>
      </c>
      <c r="B567" s="40">
        <f t="shared" ref="B567:N567" si="0">+AVERAGE(B3:B553)</f>
        <v>1286.5783366336577</v>
      </c>
      <c r="C567" s="41">
        <f t="shared" si="0"/>
        <v>1539.321075268813</v>
      </c>
      <c r="D567" s="41">
        <f t="shared" si="0"/>
        <v>1255.7645000000025</v>
      </c>
      <c r="E567" s="41">
        <f t="shared" si="0"/>
        <v>1123.5682692307751</v>
      </c>
      <c r="F567" s="41">
        <f t="shared" si="0"/>
        <v>1284.3930599369116</v>
      </c>
      <c r="G567" s="41">
        <f t="shared" si="0"/>
        <v>1040.1224836601325</v>
      </c>
      <c r="H567" s="41">
        <f t="shared" si="0"/>
        <v>1334.9712225705402</v>
      </c>
      <c r="I567" s="41">
        <f t="shared" si="0"/>
        <v>1135.5512987013046</v>
      </c>
      <c r="J567" s="41">
        <f t="shared" si="0"/>
        <v>1215.9782491582548</v>
      </c>
      <c r="K567" s="41">
        <f t="shared" si="0"/>
        <v>1131.3830670926518</v>
      </c>
      <c r="L567" s="41">
        <f>+AVERAGE(L3:L558)</f>
        <v>1135.6404458598724</v>
      </c>
      <c r="M567" s="41">
        <f t="shared" si="0"/>
        <v>1121.2543859649122</v>
      </c>
      <c r="N567" s="41">
        <f t="shared" si="0"/>
        <v>1132.6099999999999</v>
      </c>
      <c r="O567" s="42">
        <f t="shared" ref="O567" si="1">+AVERAGE(O3:O505)</f>
        <v>1245.340909090909</v>
      </c>
      <c r="P567" s="30"/>
      <c r="Q567" s="30"/>
      <c r="R567" s="30"/>
      <c r="S567" s="30"/>
      <c r="T567" s="30"/>
      <c r="U567" s="31"/>
      <c r="V567" s="30"/>
      <c r="W567" s="31"/>
      <c r="X567" s="30"/>
      <c r="Y567" s="31"/>
      <c r="Z567" s="30"/>
      <c r="AA567" s="31"/>
      <c r="AB567" s="30"/>
    </row>
    <row r="568" spans="1:28" x14ac:dyDescent="0.2">
      <c r="A568" s="17" t="s">
        <v>23</v>
      </c>
      <c r="B568" s="43">
        <f t="shared" ref="B568:N568" si="2">+MIN(B3:B553)</f>
        <v>1234.8399999999999</v>
      </c>
      <c r="C568" s="44">
        <f t="shared" si="2"/>
        <v>1510.5</v>
      </c>
      <c r="D568" s="44">
        <f t="shared" si="2"/>
        <v>1192.01</v>
      </c>
      <c r="E568" s="44">
        <f t="shared" si="2"/>
        <v>1092</v>
      </c>
      <c r="F568" s="44">
        <f t="shared" si="2"/>
        <v>1241</v>
      </c>
      <c r="G568" s="44">
        <f t="shared" si="2"/>
        <v>1006</v>
      </c>
      <c r="H568" s="44">
        <f t="shared" si="2"/>
        <v>1298.28</v>
      </c>
      <c r="I568" s="44">
        <f t="shared" si="2"/>
        <v>1102</v>
      </c>
      <c r="J568" s="44">
        <f t="shared" si="2"/>
        <v>1172.96</v>
      </c>
      <c r="K568" s="44">
        <f t="shared" si="2"/>
        <v>1093</v>
      </c>
      <c r="L568" s="44">
        <f>+MIN(L3:L558)</f>
        <v>1103</v>
      </c>
      <c r="M568" s="44">
        <f t="shared" si="2"/>
        <v>1099</v>
      </c>
      <c r="N568" s="44">
        <f t="shared" si="2"/>
        <v>1126.6099999999999</v>
      </c>
      <c r="O568" s="45">
        <f t="shared" ref="O568" si="3">+MIN(O3:O505)</f>
        <v>1232</v>
      </c>
      <c r="P568" s="30"/>
      <c r="Q568" s="30"/>
      <c r="R568" s="30"/>
      <c r="S568" s="30"/>
      <c r="T568" s="30"/>
      <c r="U568" s="31"/>
      <c r="V568" s="30"/>
      <c r="W568" s="31"/>
      <c r="X568" s="30"/>
      <c r="Y568" s="31"/>
      <c r="Z568" s="30"/>
      <c r="AA568" s="31"/>
      <c r="AB568" s="30"/>
    </row>
    <row r="569" spans="1:28" ht="13.5" thickBot="1" x14ac:dyDescent="0.25">
      <c r="A569" s="46" t="s">
        <v>24</v>
      </c>
      <c r="B569" s="47">
        <f t="shared" ref="B569:N569" si="4">+MAX(B3:B553)</f>
        <v>1330.2</v>
      </c>
      <c r="C569" s="48">
        <f t="shared" si="4"/>
        <v>1594.35</v>
      </c>
      <c r="D569" s="48">
        <f t="shared" si="4"/>
        <v>1311</v>
      </c>
      <c r="E569" s="48">
        <f t="shared" si="4"/>
        <v>1217</v>
      </c>
      <c r="F569" s="48">
        <f t="shared" si="4"/>
        <v>1363</v>
      </c>
      <c r="G569" s="48">
        <f t="shared" si="4"/>
        <v>1083</v>
      </c>
      <c r="H569" s="48">
        <f t="shared" si="4"/>
        <v>1364</v>
      </c>
      <c r="I569" s="48">
        <f t="shared" si="4"/>
        <v>1172</v>
      </c>
      <c r="J569" s="48">
        <f t="shared" si="4"/>
        <v>1260</v>
      </c>
      <c r="K569" s="48">
        <f t="shared" si="4"/>
        <v>1175</v>
      </c>
      <c r="L569" s="48">
        <f>+MAX(L3:L558)</f>
        <v>1165</v>
      </c>
      <c r="M569" s="48">
        <f t="shared" si="4"/>
        <v>1160</v>
      </c>
      <c r="N569" s="48">
        <f t="shared" si="4"/>
        <v>1134.6099999999999</v>
      </c>
      <c r="O569" s="49">
        <f t="shared" ref="O569" si="5">+MAX(O3:O505)</f>
        <v>1276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8"/>
  <sheetViews>
    <sheetView workbookViewId="0">
      <selection activeCell="T15" sqref="T15"/>
    </sheetView>
  </sheetViews>
  <sheetFormatPr defaultRowHeight="15" x14ac:dyDescent="0.25"/>
  <cols>
    <col min="1" max="1" width="9.140625" style="58"/>
    <col min="2" max="2" width="11.42578125" style="333" customWidth="1"/>
    <col min="3" max="14" width="9.28515625" style="333" bestFit="1" customWidth="1"/>
    <col min="15" max="15" width="11" style="333" customWidth="1"/>
    <col min="16" max="16" width="11.85546875" style="333" customWidth="1"/>
    <col min="17" max="17" width="14" style="333" customWidth="1"/>
    <col min="18" max="18" width="13.85546875" style="333" customWidth="1"/>
    <col min="19" max="19" width="13.140625" style="333" customWidth="1"/>
    <col min="20" max="20" width="14.7109375" style="333" customWidth="1"/>
    <col min="21" max="16384" width="9.140625" style="58"/>
  </cols>
  <sheetData>
    <row r="1" spans="2:20" ht="15.75" thickBot="1" x14ac:dyDescent="0.3"/>
    <row r="2" spans="2:20" ht="144.75" customHeight="1" thickBot="1" x14ac:dyDescent="0.3">
      <c r="B2" s="338"/>
      <c r="C2" s="58"/>
      <c r="D2" s="58"/>
      <c r="E2" s="58"/>
      <c r="F2" s="58"/>
      <c r="G2" s="58"/>
      <c r="H2" s="58"/>
      <c r="I2" s="58"/>
      <c r="J2" s="58"/>
      <c r="K2" s="58"/>
      <c r="L2" s="58"/>
      <c r="M2" s="58"/>
      <c r="N2" s="58"/>
      <c r="O2" s="368"/>
      <c r="P2" s="368" t="s">
        <v>113</v>
      </c>
      <c r="Q2" s="368" t="s">
        <v>114</v>
      </c>
      <c r="R2" s="368" t="s">
        <v>115</v>
      </c>
      <c r="S2" s="368" t="s">
        <v>118</v>
      </c>
      <c r="T2" s="375" t="s">
        <v>119</v>
      </c>
    </row>
    <row r="3" spans="2:20" ht="15.75" thickBot="1" x14ac:dyDescent="0.3">
      <c r="B3" s="374" t="s">
        <v>117</v>
      </c>
      <c r="C3" s="339">
        <v>41188</v>
      </c>
      <c r="D3" s="339">
        <v>41219</v>
      </c>
      <c r="E3" s="339">
        <v>41250</v>
      </c>
      <c r="F3" s="339">
        <v>41275</v>
      </c>
      <c r="G3" s="339">
        <v>41306</v>
      </c>
      <c r="H3" s="339">
        <v>41337</v>
      </c>
      <c r="I3" s="339">
        <v>41368</v>
      </c>
      <c r="J3" s="339">
        <v>41399</v>
      </c>
      <c r="K3" s="339">
        <v>41430</v>
      </c>
      <c r="L3" s="339">
        <v>41461</v>
      </c>
      <c r="M3" s="339">
        <v>41492</v>
      </c>
      <c r="N3" s="339">
        <v>41523</v>
      </c>
      <c r="O3" s="340" t="s">
        <v>4</v>
      </c>
      <c r="P3" s="340"/>
      <c r="Q3" s="340"/>
      <c r="R3" s="340"/>
      <c r="S3" s="340"/>
      <c r="T3" s="341"/>
    </row>
    <row r="4" spans="2:20" x14ac:dyDescent="0.25">
      <c r="B4" s="348" t="s">
        <v>30</v>
      </c>
      <c r="C4" s="349">
        <v>273.86028870231257</v>
      </c>
      <c r="D4" s="349">
        <v>247.09456473707468</v>
      </c>
      <c r="E4" s="349">
        <v>228.65873717287769</v>
      </c>
      <c r="F4" s="349">
        <v>233.10790739922425</v>
      </c>
      <c r="G4" s="349">
        <v>221.12399960720774</v>
      </c>
      <c r="H4" s="349">
        <v>271.51053174252468</v>
      </c>
      <c r="I4" s="349">
        <v>244.35753915647862</v>
      </c>
      <c r="J4" s="349">
        <v>260.510814061963</v>
      </c>
      <c r="K4" s="349">
        <v>244.73020081504396</v>
      </c>
      <c r="L4" s="349">
        <v>250.47902243825797</v>
      </c>
      <c r="M4" s="349">
        <v>233.46068394952619</v>
      </c>
      <c r="N4" s="349">
        <v>216.72352948396917</v>
      </c>
      <c r="O4" s="350">
        <f>SUM(C4:N4)</f>
        <v>2925.6178192664611</v>
      </c>
      <c r="P4" s="367">
        <v>-6.0000000000000001E-3</v>
      </c>
      <c r="Q4" s="352">
        <f>(O4/O6)</f>
        <v>0.63501554700745622</v>
      </c>
      <c r="R4" s="353">
        <f>(O4-3099)/3099*1</f>
        <v>-5.5947783392558542E-2</v>
      </c>
      <c r="S4" s="351"/>
      <c r="T4" s="354"/>
    </row>
    <row r="5" spans="2:20" x14ac:dyDescent="0.25">
      <c r="B5" s="355" t="s">
        <v>31</v>
      </c>
      <c r="C5" s="343">
        <v>139.54098541758728</v>
      </c>
      <c r="D5" s="343">
        <v>109.23460745323317</v>
      </c>
      <c r="E5" s="343">
        <v>62.697930475769624</v>
      </c>
      <c r="F5" s="343">
        <v>65.521892031226983</v>
      </c>
      <c r="G5" s="343">
        <v>54.145658418029164</v>
      </c>
      <c r="H5" s="343">
        <v>79.94319855648844</v>
      </c>
      <c r="I5" s="343">
        <v>125.23475475033142</v>
      </c>
      <c r="J5" s="343">
        <v>138.86664088967447</v>
      </c>
      <c r="K5" s="343">
        <v>195.17325821181322</v>
      </c>
      <c r="L5" s="343">
        <v>216.79831344822506</v>
      </c>
      <c r="M5" s="343">
        <v>252.81475548681692</v>
      </c>
      <c r="N5" s="343">
        <v>241.56954264250993</v>
      </c>
      <c r="O5" s="344">
        <f>SUM(C5:N5)</f>
        <v>1681.5415377817058</v>
      </c>
      <c r="P5" s="342"/>
      <c r="Q5" s="345">
        <f>(O5/O6)</f>
        <v>0.36498445299254406</v>
      </c>
      <c r="R5" s="347"/>
      <c r="S5" s="342"/>
      <c r="T5" s="356"/>
    </row>
    <row r="6" spans="2:20" ht="15.75" thickBot="1" x14ac:dyDescent="0.3">
      <c r="B6" s="357" t="s">
        <v>4</v>
      </c>
      <c r="C6" s="358">
        <f>SUM(C4:C5)</f>
        <v>413.40127411989988</v>
      </c>
      <c r="D6" s="358">
        <f>SUM(D4:D5)</f>
        <v>356.32917219030787</v>
      </c>
      <c r="E6" s="358">
        <f>SUM(E4:E5)</f>
        <v>291.35666764864732</v>
      </c>
      <c r="F6" s="358">
        <f>SUM(F4:F5)</f>
        <v>298.62979943045121</v>
      </c>
      <c r="G6" s="358">
        <f t="shared" ref="G6:N6" si="0">SUM(G4:G5)</f>
        <v>275.26965802523688</v>
      </c>
      <c r="H6" s="358">
        <f t="shared" si="0"/>
        <v>351.4537302990131</v>
      </c>
      <c r="I6" s="358">
        <f t="shared" si="0"/>
        <v>369.59229390681003</v>
      </c>
      <c r="J6" s="358">
        <f t="shared" si="0"/>
        <v>399.37745495163745</v>
      </c>
      <c r="K6" s="358">
        <f t="shared" si="0"/>
        <v>439.90345902685715</v>
      </c>
      <c r="L6" s="358">
        <f t="shared" si="0"/>
        <v>467.277335886483</v>
      </c>
      <c r="M6" s="358">
        <f t="shared" si="0"/>
        <v>486.27543943634311</v>
      </c>
      <c r="N6" s="358">
        <f t="shared" si="0"/>
        <v>458.2930721264791</v>
      </c>
      <c r="O6" s="359">
        <f>SUM(C6:N6)</f>
        <v>4607.1593570481655</v>
      </c>
      <c r="P6" s="360"/>
      <c r="Q6" s="361"/>
      <c r="R6" s="360"/>
      <c r="S6" s="360"/>
      <c r="T6" s="362"/>
    </row>
    <row r="7" spans="2:20" ht="15.75" thickBot="1" x14ac:dyDescent="0.3">
      <c r="C7" s="73"/>
      <c r="D7" s="73"/>
      <c r="E7" s="73"/>
      <c r="F7" s="73"/>
      <c r="O7" s="335"/>
      <c r="Q7" s="334"/>
    </row>
    <row r="8" spans="2:20" x14ac:dyDescent="0.25">
      <c r="B8" s="374" t="s">
        <v>116</v>
      </c>
      <c r="C8" s="370">
        <v>41554</v>
      </c>
      <c r="D8" s="370">
        <v>41585</v>
      </c>
      <c r="E8" s="370">
        <v>41616</v>
      </c>
      <c r="F8" s="370">
        <v>41640</v>
      </c>
      <c r="G8" s="370">
        <v>41671</v>
      </c>
      <c r="H8" s="370">
        <v>41702</v>
      </c>
      <c r="I8" s="370">
        <v>41733</v>
      </c>
      <c r="J8" s="370">
        <v>41764</v>
      </c>
      <c r="K8" s="370">
        <v>41795</v>
      </c>
      <c r="L8" s="370">
        <v>41826</v>
      </c>
      <c r="M8" s="370">
        <v>41857</v>
      </c>
      <c r="N8" s="370">
        <v>41888</v>
      </c>
      <c r="O8" s="340" t="s">
        <v>4</v>
      </c>
      <c r="P8" s="371"/>
      <c r="Q8" s="372"/>
      <c r="R8" s="371"/>
      <c r="S8" s="371"/>
      <c r="T8" s="373"/>
    </row>
    <row r="9" spans="2:20" x14ac:dyDescent="0.25">
      <c r="B9" s="355" t="s">
        <v>30</v>
      </c>
      <c r="C9" s="343">
        <v>207.00865370452203</v>
      </c>
      <c r="D9" s="343">
        <v>177.23696420680511</v>
      </c>
      <c r="E9" s="343">
        <v>203.54955319880199</v>
      </c>
      <c r="F9" s="343">
        <v>202.59911867236215</v>
      </c>
      <c r="G9" s="343">
        <v>164.72363381941375</v>
      </c>
      <c r="H9" s="343">
        <v>193.15560097216084</v>
      </c>
      <c r="I9" s="343">
        <v>164.81823538076299</v>
      </c>
      <c r="J9" s="343">
        <v>171.596946040163</v>
      </c>
      <c r="K9" s="343">
        <v>186.90528796582709</v>
      </c>
      <c r="L9" s="343">
        <v>200.10238682672951</v>
      </c>
      <c r="M9" s="343">
        <v>184.7453601414052</v>
      </c>
      <c r="N9" s="343">
        <v>199.11607011341877</v>
      </c>
      <c r="O9" s="344">
        <f>SUM(C9:N9)</f>
        <v>2255.5578110423721</v>
      </c>
      <c r="P9" s="342"/>
      <c r="Q9" s="345">
        <f>(O9/O11)</f>
        <v>0.48999284936276305</v>
      </c>
      <c r="R9" s="346">
        <f>(O9-O4)/O4</f>
        <v>-0.22903196849959467</v>
      </c>
      <c r="S9" s="342"/>
      <c r="T9" s="356"/>
    </row>
    <row r="10" spans="2:20" x14ac:dyDescent="0.25">
      <c r="B10" s="355" t="s">
        <v>31</v>
      </c>
      <c r="C10" s="343">
        <v>215.87770658418029</v>
      </c>
      <c r="D10" s="343">
        <v>190.52181224529878</v>
      </c>
      <c r="E10" s="343">
        <v>152.57437275985663</v>
      </c>
      <c r="F10" s="343">
        <v>186.25487921637944</v>
      </c>
      <c r="G10" s="343">
        <v>133.37304217606913</v>
      </c>
      <c r="H10" s="343">
        <v>132.3211260863161</v>
      </c>
      <c r="I10" s="343">
        <v>191.90740536161437</v>
      </c>
      <c r="J10" s="343">
        <v>256.23324495507438</v>
      </c>
      <c r="K10" s="343">
        <v>239.36468920312271</v>
      </c>
      <c r="L10" s="343">
        <v>226.03430181175432</v>
      </c>
      <c r="M10" s="343">
        <v>221.14587936367653</v>
      </c>
      <c r="N10" s="343">
        <v>202.08011120930917</v>
      </c>
      <c r="O10" s="344">
        <f>SUM(C10:N10)</f>
        <v>2347.6885709726521</v>
      </c>
      <c r="P10" s="365"/>
      <c r="Q10" s="345">
        <f>(O10/O11)</f>
        <v>0.51000715063723678</v>
      </c>
      <c r="R10" s="347"/>
      <c r="S10" s="342"/>
      <c r="T10" s="356"/>
    </row>
    <row r="11" spans="2:20" ht="15.75" thickBot="1" x14ac:dyDescent="0.3">
      <c r="B11" s="357" t="s">
        <v>4</v>
      </c>
      <c r="C11" s="358">
        <f>SUM(C9:C10)</f>
        <v>422.88636028870235</v>
      </c>
      <c r="D11" s="358">
        <f>SUM(D9:D10)</f>
        <v>367.75877645210392</v>
      </c>
      <c r="E11" s="358">
        <f>SUM(E9:E10)</f>
        <v>356.12392595865862</v>
      </c>
      <c r="F11" s="358">
        <f>SUM(F9:F10)</f>
        <v>388.85399788874156</v>
      </c>
      <c r="G11" s="358">
        <f t="shared" ref="G11" si="1">SUM(G9:G10)</f>
        <v>298.09667599548288</v>
      </c>
      <c r="H11" s="358">
        <f t="shared" ref="H11" si="2">SUM(H9:H10)</f>
        <v>325.47672705847697</v>
      </c>
      <c r="I11" s="358">
        <f t="shared" ref="I11" si="3">SUM(I9:I10)</f>
        <v>356.72564074237732</v>
      </c>
      <c r="J11" s="358">
        <f t="shared" ref="J11" si="4">SUM(J9:J10)</f>
        <v>427.83019099523739</v>
      </c>
      <c r="K11" s="358">
        <f t="shared" ref="K11" si="5">SUM(K9:K10)</f>
        <v>426.26997716894982</v>
      </c>
      <c r="L11" s="358">
        <f t="shared" ref="L11" si="6">SUM(L9:L10)</f>
        <v>426.13668863848386</v>
      </c>
      <c r="M11" s="358">
        <f t="shared" ref="M11" si="7">SUM(M9:M10)</f>
        <v>405.89123950508173</v>
      </c>
      <c r="N11" s="358">
        <f t="shared" ref="N11" si="8">SUM(N9:N10)</f>
        <v>401.19618132272797</v>
      </c>
      <c r="O11" s="359">
        <f>SUM(C11:N11)</f>
        <v>4603.2463820150251</v>
      </c>
      <c r="P11" s="377">
        <f>(+O11-O6)/O6</f>
        <v>-8.4932487241930828E-4</v>
      </c>
      <c r="Q11" s="361"/>
      <c r="R11" s="360"/>
      <c r="S11" s="360"/>
      <c r="T11" s="362"/>
    </row>
    <row r="12" spans="2:20" ht="15.75" thickBot="1" x14ac:dyDescent="0.3">
      <c r="O12" s="335"/>
      <c r="P12" s="336"/>
      <c r="Q12" s="334"/>
    </row>
    <row r="13" spans="2:20" x14ac:dyDescent="0.25">
      <c r="B13" s="369"/>
      <c r="C13" s="370">
        <v>41919</v>
      </c>
      <c r="D13" s="370">
        <v>41950</v>
      </c>
      <c r="E13" s="370">
        <v>41981</v>
      </c>
      <c r="F13" s="370">
        <v>42005</v>
      </c>
      <c r="G13" s="370">
        <v>42036</v>
      </c>
      <c r="H13" s="370">
        <v>42067</v>
      </c>
      <c r="I13" s="370">
        <v>42098</v>
      </c>
      <c r="J13" s="370">
        <v>42129</v>
      </c>
      <c r="K13" s="370">
        <v>42160</v>
      </c>
      <c r="L13" s="370">
        <v>42191</v>
      </c>
      <c r="M13" s="370">
        <v>42222</v>
      </c>
      <c r="N13" s="370">
        <v>42253</v>
      </c>
      <c r="O13" s="340" t="s">
        <v>4</v>
      </c>
      <c r="P13" s="376"/>
      <c r="Q13" s="372"/>
      <c r="R13" s="371"/>
      <c r="S13" s="371"/>
      <c r="T13" s="373"/>
    </row>
    <row r="14" spans="2:20" x14ac:dyDescent="0.25">
      <c r="B14" s="355" t="s">
        <v>30</v>
      </c>
      <c r="C14" s="343">
        <v>212.06522806500712</v>
      </c>
      <c r="D14" s="343">
        <v>190.78540040261205</v>
      </c>
      <c r="E14" s="343">
        <v>159.275236902833</v>
      </c>
      <c r="F14" s="343">
        <v>175.23641184268669</v>
      </c>
      <c r="G14" s="343">
        <v>147.17993568026711</v>
      </c>
      <c r="H14" s="343">
        <v>188.88520646143272</v>
      </c>
      <c r="I14" s="343">
        <v>178.05055972897333</v>
      </c>
      <c r="J14" s="343">
        <v>151.83387956007266</v>
      </c>
      <c r="K14" s="343">
        <v>159.05631659056317</v>
      </c>
      <c r="L14" s="343">
        <v>153.970700152207</v>
      </c>
      <c r="M14" s="343">
        <v>167.49748367457161</v>
      </c>
      <c r="N14" s="343">
        <v>145.12170422742673</v>
      </c>
      <c r="O14" s="344">
        <f>SUM(C14:N14)</f>
        <v>2028.9580632886532</v>
      </c>
      <c r="P14" s="364"/>
      <c r="Q14" s="345">
        <f>(O14/O16)</f>
        <v>0.5417852225998101</v>
      </c>
      <c r="R14" s="346">
        <f>(O14-O9)/O9</f>
        <v>-0.10046284189408529</v>
      </c>
      <c r="S14" s="363">
        <f>+P16*Q14</f>
        <v>-0.10101844739181071</v>
      </c>
      <c r="T14" s="378">
        <f>-O14*S14</f>
        <v>204.96219337651496</v>
      </c>
    </row>
    <row r="15" spans="2:20" x14ac:dyDescent="0.25">
      <c r="B15" s="355" t="s">
        <v>31</v>
      </c>
      <c r="C15" s="343">
        <v>174.19723081455297</v>
      </c>
      <c r="D15" s="343">
        <v>128.20371188687582</v>
      </c>
      <c r="E15" s="343">
        <v>95.593515245249662</v>
      </c>
      <c r="F15" s="343">
        <v>127.44407620169882</v>
      </c>
      <c r="G15" s="343">
        <v>119.3689301320764</v>
      </c>
      <c r="H15" s="343">
        <v>150.25454779790837</v>
      </c>
      <c r="I15" s="343">
        <v>142.36264545588452</v>
      </c>
      <c r="J15" s="343">
        <v>136.03338734226935</v>
      </c>
      <c r="K15" s="343">
        <v>154.02213138901163</v>
      </c>
      <c r="L15" s="343">
        <v>161.06707541611431</v>
      </c>
      <c r="M15" s="343">
        <v>176.25708867285314</v>
      </c>
      <c r="N15" s="343">
        <v>151.18666224775373</v>
      </c>
      <c r="O15" s="344">
        <f>SUM(C15:N15)</f>
        <v>1715.9910026022485</v>
      </c>
      <c r="P15" s="365"/>
      <c r="Q15" s="345">
        <f>(O15/O16)</f>
        <v>0.45821477740018984</v>
      </c>
      <c r="R15" s="347"/>
      <c r="S15" s="342"/>
      <c r="T15" s="356"/>
    </row>
    <row r="16" spans="2:20" ht="15.75" thickBot="1" x14ac:dyDescent="0.3">
      <c r="B16" s="357" t="s">
        <v>4</v>
      </c>
      <c r="C16" s="358">
        <f>SUM(C14:C15)</f>
        <v>386.26245887956009</v>
      </c>
      <c r="D16" s="358">
        <f>SUM(D14:D15)</f>
        <v>318.98911228948788</v>
      </c>
      <c r="E16" s="358">
        <f>SUM(E14:E15)</f>
        <v>254.86875214808265</v>
      </c>
      <c r="F16" s="358">
        <f>SUM(F14:F15)</f>
        <v>302.68048804438553</v>
      </c>
      <c r="G16" s="358">
        <f t="shared" ref="G16" si="9">SUM(G14:G15)</f>
        <v>266.54886581234348</v>
      </c>
      <c r="H16" s="358">
        <f t="shared" ref="H16" si="10">SUM(H14:H15)</f>
        <v>339.13975425934109</v>
      </c>
      <c r="I16" s="358">
        <f t="shared" ref="I16" si="11">SUM(I14:I15)</f>
        <v>320.41320518485782</v>
      </c>
      <c r="J16" s="358">
        <f t="shared" ref="J16" si="12">SUM(J14:J15)</f>
        <v>287.86726690234201</v>
      </c>
      <c r="K16" s="358">
        <f t="shared" ref="K16" si="13">SUM(K14:K15)</f>
        <v>313.07844797957478</v>
      </c>
      <c r="L16" s="358">
        <f t="shared" ref="L16" si="14">SUM(L14:L15)</f>
        <v>315.03777556832131</v>
      </c>
      <c r="M16" s="358">
        <f t="shared" ref="M16" si="15">SUM(M14:M15)</f>
        <v>343.75457234742476</v>
      </c>
      <c r="N16" s="358">
        <f t="shared" ref="N16" si="16">SUM(N14:N15)</f>
        <v>296.30836647518049</v>
      </c>
      <c r="O16" s="359">
        <f>SUM(C16:N16)</f>
        <v>3744.9490658909017</v>
      </c>
      <c r="P16" s="366">
        <f>(+O16-O11)/O11</f>
        <v>-0.18645478536137194</v>
      </c>
      <c r="Q16" s="360"/>
      <c r="R16" s="360"/>
      <c r="S16" s="360"/>
      <c r="T16" s="362"/>
    </row>
    <row r="20" spans="3:18" x14ac:dyDescent="0.25">
      <c r="C20" s="438"/>
      <c r="D20" s="438"/>
      <c r="E20" s="438"/>
      <c r="F20" s="438"/>
      <c r="G20" s="438"/>
      <c r="H20" s="438"/>
      <c r="I20" s="438"/>
      <c r="J20" s="438"/>
      <c r="K20" s="438"/>
      <c r="L20" s="438"/>
      <c r="M20" s="438"/>
      <c r="N20" s="438"/>
      <c r="O20" s="438"/>
      <c r="P20" s="438"/>
    </row>
    <row r="22" spans="3:18" x14ac:dyDescent="0.25">
      <c r="C22" s="438"/>
      <c r="D22" s="438"/>
      <c r="E22" s="438"/>
      <c r="F22" s="438"/>
      <c r="G22" s="438"/>
      <c r="H22" s="438"/>
      <c r="I22" s="438"/>
      <c r="J22" s="438"/>
      <c r="K22" s="438"/>
      <c r="L22" s="438"/>
      <c r="M22" s="438"/>
      <c r="N22" s="438"/>
      <c r="O22" s="438"/>
      <c r="P22" s="438"/>
    </row>
    <row r="24" spans="3:18" x14ac:dyDescent="0.25">
      <c r="C24" s="438"/>
      <c r="D24" s="438"/>
      <c r="E24" s="438"/>
      <c r="F24" s="438"/>
      <c r="G24" s="438"/>
      <c r="H24" s="438"/>
      <c r="I24" s="438"/>
      <c r="J24" s="438"/>
      <c r="R24" s="337"/>
    </row>
    <row r="26" spans="3:18" x14ac:dyDescent="0.25">
      <c r="C26" s="438"/>
      <c r="D26" s="438"/>
      <c r="E26" s="438"/>
      <c r="F26" s="438"/>
      <c r="G26" s="438"/>
      <c r="H26" s="438"/>
      <c r="I26" s="438"/>
      <c r="J26" s="438"/>
      <c r="K26" s="438"/>
      <c r="L26" s="438"/>
      <c r="M26" s="438"/>
      <c r="N26" s="438"/>
      <c r="O26" s="438"/>
      <c r="P26" s="438"/>
      <c r="Q26" s="438"/>
      <c r="R26" s="337"/>
    </row>
    <row r="28" spans="3:18" x14ac:dyDescent="0.25">
      <c r="C28" s="337"/>
      <c r="D28" s="337"/>
      <c r="E28" s="337"/>
      <c r="F28" s="337"/>
      <c r="G28" s="337"/>
      <c r="H28" s="337"/>
      <c r="I28" s="337"/>
      <c r="J28" s="337"/>
      <c r="K28" s="337"/>
      <c r="L28" s="337"/>
      <c r="M28" s="337"/>
      <c r="N28" s="337"/>
      <c r="O28" s="337"/>
      <c r="P28" s="337"/>
      <c r="Q28" s="337"/>
    </row>
  </sheetData>
  <mergeCells count="4">
    <mergeCell ref="C20:P20"/>
    <mergeCell ref="C22:P22"/>
    <mergeCell ref="C26:Q26"/>
    <mergeCell ref="C24:J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09"/>
  <sheetViews>
    <sheetView topLeftCell="E1" workbookViewId="0">
      <selection activeCell="R37" sqref="R37"/>
    </sheetView>
  </sheetViews>
  <sheetFormatPr defaultRowHeight="12.75" x14ac:dyDescent="0.2"/>
  <cols>
    <col min="1" max="1" width="18" style="79" customWidth="1"/>
    <col min="2" max="2" width="10.140625" style="80" customWidth="1"/>
    <col min="3" max="3" width="10.85546875" style="80" bestFit="1" customWidth="1"/>
    <col min="4" max="4" width="10.5703125" style="80" customWidth="1"/>
    <col min="5" max="6" width="11.140625" style="80" bestFit="1" customWidth="1"/>
    <col min="7" max="8" width="11.28515625" style="80" bestFit="1" customWidth="1"/>
    <col min="9" max="10" width="10.140625" style="80" customWidth="1"/>
    <col min="11" max="11" width="11.140625" style="80" bestFit="1" customWidth="1"/>
    <col min="12" max="12" width="11.85546875" style="80" bestFit="1" customWidth="1"/>
    <col min="13" max="13" width="12" style="80" bestFit="1" customWidth="1"/>
    <col min="14" max="14" width="12.7109375" style="80" bestFit="1" customWidth="1"/>
    <col min="15" max="15" width="12.85546875" style="80" customWidth="1"/>
    <col min="16" max="16" width="9.42578125" style="80" hidden="1" customWidth="1"/>
    <col min="17" max="17" width="11" style="80" bestFit="1" customWidth="1"/>
    <col min="18" max="18" width="9.5703125" style="80" customWidth="1"/>
    <col min="19" max="19" width="11" style="80" bestFit="1" customWidth="1"/>
    <col min="20" max="20" width="11.140625" style="80" customWidth="1"/>
    <col min="21" max="21" width="8.7109375" style="82" customWidth="1"/>
    <col min="22" max="22" width="11.140625" style="83" bestFit="1" customWidth="1"/>
    <col min="23" max="23" width="11.42578125" style="83" bestFit="1" customWidth="1"/>
    <col min="24" max="24" width="12.140625" style="83" bestFit="1" customWidth="1"/>
    <col min="25" max="25" width="7" style="83" customWidth="1"/>
    <col min="26" max="26" width="11.42578125" style="83" bestFit="1" customWidth="1"/>
    <col min="27" max="27" width="11.140625" style="83" customWidth="1"/>
    <col min="28" max="28" width="8.85546875" style="83" bestFit="1" customWidth="1"/>
    <col min="29" max="29" width="16.5703125" style="83" bestFit="1" customWidth="1"/>
    <col min="30" max="30" width="12.140625" style="83" customWidth="1"/>
    <col min="31" max="31" width="10.140625" style="83" bestFit="1" customWidth="1"/>
    <col min="32" max="32" width="13.85546875" style="84" bestFit="1" customWidth="1"/>
    <col min="33" max="33" width="6.5703125" style="85" bestFit="1" customWidth="1"/>
    <col min="34" max="35" width="6.28515625" style="85" bestFit="1" customWidth="1"/>
    <col min="36" max="36" width="7.28515625" style="85" customWidth="1"/>
    <col min="37" max="37" width="6.28515625" style="85" bestFit="1" customWidth="1"/>
    <col min="38" max="38" width="7.28515625" style="85" bestFit="1" customWidth="1"/>
    <col min="39" max="39" width="7.28515625" style="85" customWidth="1"/>
    <col min="40" max="40" width="6.5703125" style="85" bestFit="1" customWidth="1"/>
    <col min="41" max="41" width="7.28515625" style="85" bestFit="1" customWidth="1"/>
    <col min="42" max="43" width="6.5703125" style="85" bestFit="1" customWidth="1"/>
    <col min="44" max="44" width="7.28515625" style="85" bestFit="1" customWidth="1"/>
    <col min="45" max="45" width="9.42578125" style="85" bestFit="1" customWidth="1"/>
    <col min="46" max="46" width="6.28515625" style="85" bestFit="1" customWidth="1"/>
    <col min="47" max="47" width="7.7109375" style="85" bestFit="1" customWidth="1"/>
    <col min="48" max="48" width="8.42578125" style="85" bestFit="1" customWidth="1"/>
    <col min="49" max="49" width="7.5703125" style="85" bestFit="1" customWidth="1"/>
    <col min="50" max="51" width="12" style="85" bestFit="1" customWidth="1"/>
    <col min="52" max="52" width="8.140625" style="83" bestFit="1" customWidth="1"/>
    <col min="53" max="53" width="7.28515625" style="83" bestFit="1" customWidth="1"/>
    <col min="54" max="54" width="7" style="83" bestFit="1" customWidth="1"/>
    <col min="55" max="55" width="8.28515625" style="83" bestFit="1" customWidth="1"/>
    <col min="56" max="56" width="8.140625" style="83" bestFit="1" customWidth="1"/>
    <col min="57" max="57" width="8.28515625" style="83" bestFit="1" customWidth="1"/>
    <col min="58" max="58" width="7.7109375" style="83" bestFit="1" customWidth="1"/>
    <col min="59" max="59" width="5.5703125" style="83" bestFit="1" customWidth="1"/>
    <col min="60" max="60" width="13.28515625" style="83" bestFit="1" customWidth="1"/>
    <col min="61" max="72" width="5.140625" style="83" bestFit="1" customWidth="1"/>
    <col min="73" max="73" width="6.140625" style="80" bestFit="1" customWidth="1"/>
    <col min="74" max="74" width="9.42578125" style="80" bestFit="1" customWidth="1"/>
    <col min="75" max="75" width="7.7109375" style="80" customWidth="1"/>
    <col min="76" max="76" width="9.5703125" style="80" bestFit="1" customWidth="1"/>
    <col min="77" max="77" width="7.5703125" style="80" bestFit="1" customWidth="1"/>
    <col min="78" max="78" width="5.7109375" style="80" customWidth="1"/>
    <col min="79" max="80" width="8.140625" style="83" bestFit="1" customWidth="1"/>
    <col min="81" max="81" width="6.28515625" style="83" bestFit="1" customWidth="1"/>
    <col min="82" max="82" width="7" style="83" bestFit="1" customWidth="1"/>
    <col min="83" max="83" width="8.28515625" style="83" bestFit="1" customWidth="1"/>
    <col min="84" max="84" width="7.5703125" style="83" bestFit="1" customWidth="1"/>
    <col min="85" max="86" width="8" style="83" bestFit="1" customWidth="1"/>
    <col min="87" max="89" width="10.140625" style="83" bestFit="1" customWidth="1"/>
    <col min="90" max="90" width="5.140625" style="83" bestFit="1" customWidth="1"/>
    <col min="91" max="100" width="9.140625" style="83"/>
    <col min="101" max="103" width="10" style="83" bestFit="1" customWidth="1"/>
    <col min="104" max="16384" width="9.140625" style="83"/>
  </cols>
  <sheetData>
    <row r="1" spans="1:90" ht="13.5" thickBot="1" x14ac:dyDescent="0.25">
      <c r="N1" s="81"/>
      <c r="O1" s="81"/>
    </row>
    <row r="2" spans="1:90" ht="13.5" thickBot="1" x14ac:dyDescent="0.25">
      <c r="A2" s="443" t="s">
        <v>86</v>
      </c>
      <c r="B2" s="444"/>
      <c r="C2" s="444"/>
      <c r="D2" s="444"/>
      <c r="E2" s="444"/>
      <c r="F2" s="444"/>
      <c r="G2" s="444"/>
      <c r="H2" s="444"/>
      <c r="I2" s="444"/>
      <c r="J2" s="444"/>
      <c r="K2" s="444"/>
      <c r="L2" s="444"/>
      <c r="M2" s="444"/>
      <c r="N2" s="86"/>
      <c r="O2" s="87"/>
      <c r="P2" s="88"/>
      <c r="Q2" s="88"/>
      <c r="R2" s="88"/>
      <c r="S2" s="87"/>
      <c r="T2" s="89"/>
      <c r="U2" s="89"/>
      <c r="V2" s="90"/>
      <c r="W2" s="90"/>
      <c r="X2" s="90"/>
      <c r="Y2" s="90"/>
      <c r="Z2" s="90"/>
      <c r="AA2" s="91"/>
      <c r="AB2" s="92"/>
      <c r="AC2" s="90"/>
      <c r="AD2" s="93"/>
      <c r="AE2" s="94"/>
      <c r="AF2" s="95"/>
      <c r="AG2" s="445" t="s">
        <v>33</v>
      </c>
      <c r="AH2" s="446"/>
      <c r="AI2" s="446"/>
      <c r="AJ2" s="446"/>
      <c r="AK2" s="446"/>
      <c r="AL2" s="446"/>
      <c r="AM2" s="446"/>
      <c r="AN2" s="446"/>
      <c r="AO2" s="446"/>
      <c r="AP2" s="446"/>
      <c r="AQ2" s="446"/>
      <c r="AR2" s="446"/>
      <c r="AS2" s="446"/>
      <c r="AT2" s="446"/>
      <c r="AU2" s="446"/>
      <c r="AV2" s="446"/>
      <c r="AW2" s="446"/>
      <c r="AX2" s="447"/>
      <c r="AY2" s="448" t="s">
        <v>34</v>
      </c>
      <c r="AZ2" s="449"/>
      <c r="BA2" s="449"/>
      <c r="BB2" s="449"/>
      <c r="BC2" s="449"/>
      <c r="BD2" s="450"/>
      <c r="BE2" s="96" t="s">
        <v>35</v>
      </c>
      <c r="BF2" s="97"/>
      <c r="BG2" s="97"/>
      <c r="BH2" s="98"/>
      <c r="BI2" s="99"/>
      <c r="BJ2" s="99"/>
      <c r="BK2" s="99"/>
      <c r="BL2" s="99"/>
      <c r="BM2" s="99"/>
      <c r="BN2" s="99"/>
      <c r="BO2" s="99"/>
      <c r="BP2" s="99"/>
      <c r="BQ2" s="99"/>
      <c r="BR2" s="99"/>
      <c r="BS2" s="99"/>
      <c r="BT2" s="99"/>
      <c r="BU2" s="99"/>
      <c r="BV2" s="99"/>
      <c r="BW2" s="99"/>
      <c r="BX2" s="99"/>
      <c r="BY2" s="99"/>
      <c r="BZ2" s="99"/>
      <c r="CA2" s="99"/>
      <c r="CB2" s="99"/>
      <c r="CC2" s="99"/>
      <c r="CD2" s="99"/>
      <c r="CE2" s="99"/>
      <c r="CF2" s="99"/>
      <c r="CG2" s="99" t="s">
        <v>36</v>
      </c>
      <c r="CH2" s="100" t="s">
        <v>36</v>
      </c>
      <c r="CI2" s="101" t="s">
        <v>36</v>
      </c>
      <c r="CJ2" s="102" t="s">
        <v>36</v>
      </c>
      <c r="CK2" s="103" t="s">
        <v>36</v>
      </c>
    </row>
    <row r="3" spans="1:90" x14ac:dyDescent="0.2">
      <c r="A3" s="104"/>
      <c r="B3" s="81"/>
      <c r="C3" s="81"/>
      <c r="D3" s="81"/>
      <c r="E3" s="81"/>
      <c r="F3" s="81"/>
      <c r="G3" s="81"/>
      <c r="H3" s="81"/>
      <c r="I3" s="81"/>
      <c r="J3" s="81"/>
      <c r="K3" s="81"/>
      <c r="L3" s="81"/>
      <c r="M3" s="81"/>
      <c r="N3" s="81"/>
      <c r="O3" s="105"/>
      <c r="P3" s="97"/>
      <c r="Q3" s="451" t="s">
        <v>37</v>
      </c>
      <c r="R3" s="451"/>
      <c r="S3" s="452"/>
      <c r="T3" s="106" t="s">
        <v>38</v>
      </c>
      <c r="U3" s="106" t="s">
        <v>39</v>
      </c>
      <c r="V3" s="107"/>
      <c r="W3" s="107"/>
      <c r="X3" s="107"/>
      <c r="Y3" s="107"/>
      <c r="Z3" s="107"/>
      <c r="AA3" s="108"/>
      <c r="AB3" s="106" t="s">
        <v>39</v>
      </c>
      <c r="AC3" s="107" t="s">
        <v>40</v>
      </c>
      <c r="AD3" s="108" t="s">
        <v>40</v>
      </c>
      <c r="AE3" s="109"/>
      <c r="AF3" s="110"/>
      <c r="AG3" s="453" t="s">
        <v>41</v>
      </c>
      <c r="AH3" s="454"/>
      <c r="AI3" s="454"/>
      <c r="AJ3" s="454"/>
      <c r="AK3" s="454"/>
      <c r="AL3" s="454"/>
      <c r="AM3" s="454"/>
      <c r="AN3" s="454"/>
      <c r="AO3" s="454"/>
      <c r="AP3" s="454"/>
      <c r="AQ3" s="454"/>
      <c r="AR3" s="454"/>
      <c r="AS3" s="111"/>
      <c r="AT3" s="111"/>
      <c r="AU3" s="455" t="s">
        <v>37</v>
      </c>
      <c r="AV3" s="455"/>
      <c r="AW3" s="456"/>
      <c r="AX3" s="112" t="s">
        <v>4</v>
      </c>
      <c r="AY3" s="113"/>
      <c r="AZ3" s="107"/>
      <c r="BA3" s="107"/>
      <c r="BB3" s="107"/>
      <c r="BC3" s="114"/>
      <c r="BD3" s="115" t="s">
        <v>4</v>
      </c>
      <c r="BE3" s="116" t="s">
        <v>4</v>
      </c>
      <c r="BF3" s="97"/>
      <c r="BG3" s="97"/>
      <c r="BH3" s="117" t="s">
        <v>42</v>
      </c>
      <c r="BI3" s="99"/>
      <c r="BJ3" s="99"/>
      <c r="BK3" s="99"/>
      <c r="BL3" s="99"/>
      <c r="BM3" s="99"/>
      <c r="BN3" s="99"/>
      <c r="BO3" s="99"/>
      <c r="BP3" s="99"/>
      <c r="BQ3" s="99"/>
      <c r="BR3" s="99"/>
      <c r="BS3" s="99"/>
      <c r="BT3" s="99"/>
      <c r="BU3" s="100"/>
      <c r="BV3" s="88"/>
      <c r="BW3" s="439" t="s">
        <v>37</v>
      </c>
      <c r="BX3" s="439"/>
      <c r="BY3" s="440"/>
      <c r="BZ3" s="270" t="s">
        <v>4</v>
      </c>
      <c r="CA3" s="90"/>
      <c r="CB3" s="90"/>
      <c r="CC3" s="90"/>
      <c r="CD3" s="90"/>
      <c r="CE3" s="90"/>
      <c r="CF3" s="123" t="s">
        <v>4</v>
      </c>
      <c r="CG3" s="124" t="s">
        <v>43</v>
      </c>
      <c r="CH3" s="96" t="s">
        <v>43</v>
      </c>
      <c r="CI3" s="125" t="s">
        <v>44</v>
      </c>
      <c r="CJ3" s="99" t="s">
        <v>44</v>
      </c>
      <c r="CK3" s="100" t="s">
        <v>44</v>
      </c>
    </row>
    <row r="4" spans="1:90" s="80" customFormat="1" x14ac:dyDescent="0.2">
      <c r="A4" s="104"/>
      <c r="B4" s="81" t="s">
        <v>45</v>
      </c>
      <c r="C4" s="81" t="s">
        <v>46</v>
      </c>
      <c r="D4" s="81" t="s">
        <v>47</v>
      </c>
      <c r="E4" s="81" t="s">
        <v>48</v>
      </c>
      <c r="F4" s="81" t="s">
        <v>49</v>
      </c>
      <c r="G4" s="81" t="s">
        <v>50</v>
      </c>
      <c r="H4" s="81" t="s">
        <v>51</v>
      </c>
      <c r="I4" s="81" t="s">
        <v>52</v>
      </c>
      <c r="J4" s="81" t="s">
        <v>53</v>
      </c>
      <c r="K4" s="81" t="s">
        <v>54</v>
      </c>
      <c r="L4" s="81" t="s">
        <v>55</v>
      </c>
      <c r="M4" s="81" t="s">
        <v>56</v>
      </c>
      <c r="N4" s="81" t="s">
        <v>57</v>
      </c>
      <c r="O4" s="126" t="s">
        <v>58</v>
      </c>
      <c r="P4" s="111"/>
      <c r="Q4" s="111"/>
      <c r="R4" s="111" t="s">
        <v>59</v>
      </c>
      <c r="S4" s="105" t="s">
        <v>4</v>
      </c>
      <c r="T4" s="106" t="s">
        <v>4</v>
      </c>
      <c r="U4" s="106" t="s">
        <v>4</v>
      </c>
      <c r="V4" s="107" t="s">
        <v>60</v>
      </c>
      <c r="W4" s="107" t="s">
        <v>60</v>
      </c>
      <c r="X4" s="107" t="s">
        <v>61</v>
      </c>
      <c r="Y4" s="107" t="s">
        <v>62</v>
      </c>
      <c r="Z4" s="107" t="s">
        <v>63</v>
      </c>
      <c r="AA4" s="108" t="s">
        <v>4</v>
      </c>
      <c r="AB4" s="106" t="s">
        <v>4</v>
      </c>
      <c r="AC4" s="107" t="s">
        <v>64</v>
      </c>
      <c r="AD4" s="108" t="s">
        <v>64</v>
      </c>
      <c r="AE4" s="81"/>
      <c r="AF4" s="110"/>
      <c r="AG4" s="127" t="s">
        <v>65</v>
      </c>
      <c r="AH4" s="128" t="s">
        <v>65</v>
      </c>
      <c r="AI4" s="128" t="s">
        <v>65</v>
      </c>
      <c r="AJ4" s="128" t="s">
        <v>65</v>
      </c>
      <c r="AK4" s="128" t="s">
        <v>65</v>
      </c>
      <c r="AL4" s="128" t="s">
        <v>65</v>
      </c>
      <c r="AM4" s="128" t="s">
        <v>65</v>
      </c>
      <c r="AN4" s="128" t="s">
        <v>65</v>
      </c>
      <c r="AO4" s="128" t="s">
        <v>65</v>
      </c>
      <c r="AP4" s="128" t="s">
        <v>65</v>
      </c>
      <c r="AQ4" s="128" t="s">
        <v>65</v>
      </c>
      <c r="AR4" s="128" t="s">
        <v>65</v>
      </c>
      <c r="AS4" s="111" t="s">
        <v>66</v>
      </c>
      <c r="AT4" s="129" t="s">
        <v>65</v>
      </c>
      <c r="AU4" s="111"/>
      <c r="AV4" s="130" t="s">
        <v>59</v>
      </c>
      <c r="AW4" s="131" t="s">
        <v>4</v>
      </c>
      <c r="AX4" s="112" t="s">
        <v>41</v>
      </c>
      <c r="AY4" s="113" t="s">
        <v>60</v>
      </c>
      <c r="AZ4" s="107" t="s">
        <v>60</v>
      </c>
      <c r="BA4" s="107" t="s">
        <v>61</v>
      </c>
      <c r="BB4" s="107" t="s">
        <v>62</v>
      </c>
      <c r="BC4" s="114" t="s">
        <v>63</v>
      </c>
      <c r="BD4" s="115" t="s">
        <v>5</v>
      </c>
      <c r="BE4" s="116" t="s">
        <v>67</v>
      </c>
      <c r="BF4" s="111"/>
      <c r="BG4" s="111"/>
      <c r="BH4" s="132" t="s">
        <v>36</v>
      </c>
      <c r="BI4" s="81" t="s">
        <v>65</v>
      </c>
      <c r="BJ4" s="81" t="s">
        <v>65</v>
      </c>
      <c r="BK4" s="81" t="s">
        <v>65</v>
      </c>
      <c r="BL4" s="81" t="s">
        <v>65</v>
      </c>
      <c r="BM4" s="81" t="s">
        <v>65</v>
      </c>
      <c r="BN4" s="81" t="s">
        <v>65</v>
      </c>
      <c r="BO4" s="81" t="s">
        <v>65</v>
      </c>
      <c r="BP4" s="81" t="s">
        <v>65</v>
      </c>
      <c r="BQ4" s="81" t="s">
        <v>65</v>
      </c>
      <c r="BR4" s="81" t="s">
        <v>65</v>
      </c>
      <c r="BS4" s="81" t="s">
        <v>65</v>
      </c>
      <c r="BT4" s="81" t="s">
        <v>65</v>
      </c>
      <c r="BU4" s="133" t="s">
        <v>65</v>
      </c>
      <c r="BV4" s="111" t="s">
        <v>66</v>
      </c>
      <c r="BW4" s="111"/>
      <c r="BX4" s="111" t="s">
        <v>59</v>
      </c>
      <c r="BY4" s="237" t="s">
        <v>4</v>
      </c>
      <c r="BZ4" s="271" t="s">
        <v>41</v>
      </c>
      <c r="CA4" s="107" t="s">
        <v>60</v>
      </c>
      <c r="CB4" s="107" t="s">
        <v>60</v>
      </c>
      <c r="CC4" s="107" t="s">
        <v>61</v>
      </c>
      <c r="CD4" s="107" t="s">
        <v>62</v>
      </c>
      <c r="CE4" s="114" t="s">
        <v>63</v>
      </c>
      <c r="CF4" s="114" t="s">
        <v>5</v>
      </c>
      <c r="CG4" s="136" t="s">
        <v>68</v>
      </c>
      <c r="CH4" s="116" t="s">
        <v>68</v>
      </c>
      <c r="CI4" s="137" t="s">
        <v>41</v>
      </c>
      <c r="CJ4" s="81" t="s">
        <v>5</v>
      </c>
      <c r="CK4" s="133" t="s">
        <v>4</v>
      </c>
    </row>
    <row r="5" spans="1:90" ht="13.5" thickBot="1" x14ac:dyDescent="0.25">
      <c r="A5" s="138"/>
      <c r="B5" s="139"/>
      <c r="C5" s="139"/>
      <c r="D5" s="139"/>
      <c r="E5" s="139"/>
      <c r="F5" s="139"/>
      <c r="G5" s="139"/>
      <c r="H5" s="139"/>
      <c r="I5" s="139"/>
      <c r="J5" s="139"/>
      <c r="K5" s="139"/>
      <c r="L5" s="139"/>
      <c r="M5" s="139"/>
      <c r="N5" s="139"/>
      <c r="O5" s="140" t="s">
        <v>69</v>
      </c>
      <c r="P5" s="141" t="s">
        <v>70</v>
      </c>
      <c r="Q5" s="141" t="s">
        <v>71</v>
      </c>
      <c r="R5" s="141" t="s">
        <v>71</v>
      </c>
      <c r="S5" s="142" t="s">
        <v>69</v>
      </c>
      <c r="T5" s="143" t="s">
        <v>69</v>
      </c>
      <c r="U5" s="143" t="s">
        <v>69</v>
      </c>
      <c r="V5" s="144" t="s">
        <v>72</v>
      </c>
      <c r="W5" s="144" t="s">
        <v>73</v>
      </c>
      <c r="X5" s="144"/>
      <c r="Y5" s="144" t="s">
        <v>74</v>
      </c>
      <c r="Z5" s="144" t="s">
        <v>75</v>
      </c>
      <c r="AA5" s="145" t="s">
        <v>69</v>
      </c>
      <c r="AB5" s="143" t="s">
        <v>69</v>
      </c>
      <c r="AC5" s="144" t="s">
        <v>38</v>
      </c>
      <c r="AD5" s="145" t="s">
        <v>76</v>
      </c>
      <c r="AE5" s="109"/>
      <c r="AF5" s="146"/>
      <c r="AG5" s="147">
        <v>1</v>
      </c>
      <c r="AH5" s="148">
        <v>2</v>
      </c>
      <c r="AI5" s="148">
        <v>4</v>
      </c>
      <c r="AJ5" s="148">
        <v>5</v>
      </c>
      <c r="AK5" s="148">
        <v>6</v>
      </c>
      <c r="AL5" s="148">
        <v>7</v>
      </c>
      <c r="AM5" s="148">
        <v>8</v>
      </c>
      <c r="AN5" s="148">
        <v>9</v>
      </c>
      <c r="AO5" s="148">
        <v>10</v>
      </c>
      <c r="AP5" s="148">
        <v>11</v>
      </c>
      <c r="AQ5" s="148">
        <v>12</v>
      </c>
      <c r="AR5" s="148">
        <v>14</v>
      </c>
      <c r="AS5" s="141" t="s">
        <v>70</v>
      </c>
      <c r="AT5" s="149">
        <v>15</v>
      </c>
      <c r="AU5" s="141" t="s">
        <v>71</v>
      </c>
      <c r="AV5" s="141" t="s">
        <v>71</v>
      </c>
      <c r="AW5" s="149" t="s">
        <v>69</v>
      </c>
      <c r="AX5" s="150" t="s">
        <v>69</v>
      </c>
      <c r="AY5" s="151" t="s">
        <v>72</v>
      </c>
      <c r="AZ5" s="144" t="s">
        <v>73</v>
      </c>
      <c r="BA5" s="144"/>
      <c r="BB5" s="144" t="s">
        <v>74</v>
      </c>
      <c r="BC5" s="152" t="s">
        <v>75</v>
      </c>
      <c r="BD5" s="153" t="s">
        <v>69</v>
      </c>
      <c r="BE5" s="154" t="s">
        <v>76</v>
      </c>
      <c r="BF5" s="111"/>
      <c r="BG5" s="111"/>
      <c r="BH5" s="155"/>
      <c r="BI5" s="139">
        <v>1</v>
      </c>
      <c r="BJ5" s="139">
        <v>2</v>
      </c>
      <c r="BK5" s="139">
        <v>4</v>
      </c>
      <c r="BL5" s="139">
        <v>5</v>
      </c>
      <c r="BM5" s="139">
        <v>6</v>
      </c>
      <c r="BN5" s="139">
        <v>7</v>
      </c>
      <c r="BO5" s="139">
        <v>8</v>
      </c>
      <c r="BP5" s="139">
        <v>9</v>
      </c>
      <c r="BQ5" s="139">
        <v>10</v>
      </c>
      <c r="BR5" s="139">
        <v>11</v>
      </c>
      <c r="BS5" s="139">
        <v>12</v>
      </c>
      <c r="BT5" s="139">
        <v>14</v>
      </c>
      <c r="BU5" s="140">
        <v>15</v>
      </c>
      <c r="BV5" s="141" t="s">
        <v>70</v>
      </c>
      <c r="BW5" s="141" t="s">
        <v>71</v>
      </c>
      <c r="BX5" s="141" t="s">
        <v>71</v>
      </c>
      <c r="BY5" s="245" t="s">
        <v>69</v>
      </c>
      <c r="BZ5" s="272" t="s">
        <v>43</v>
      </c>
      <c r="CA5" s="144" t="s">
        <v>72</v>
      </c>
      <c r="CB5" s="144" t="s">
        <v>73</v>
      </c>
      <c r="CC5" s="144"/>
      <c r="CD5" s="144" t="s">
        <v>74</v>
      </c>
      <c r="CE5" s="152" t="s">
        <v>75</v>
      </c>
      <c r="CF5" s="152" t="s">
        <v>69</v>
      </c>
      <c r="CG5" s="158" t="s">
        <v>77</v>
      </c>
      <c r="CH5" s="145" t="s">
        <v>76</v>
      </c>
      <c r="CI5" s="159" t="s">
        <v>78</v>
      </c>
      <c r="CJ5" s="139" t="s">
        <v>78</v>
      </c>
      <c r="CK5" s="140" t="s">
        <v>78</v>
      </c>
    </row>
    <row r="6" spans="1:90" x14ac:dyDescent="0.2">
      <c r="A6" s="160">
        <v>41275</v>
      </c>
      <c r="B6" s="161">
        <v>1430100</v>
      </c>
      <c r="C6" s="161">
        <v>0</v>
      </c>
      <c r="D6" s="161">
        <v>0</v>
      </c>
      <c r="E6" s="161">
        <v>15971000</v>
      </c>
      <c r="F6" s="161">
        <v>770300</v>
      </c>
      <c r="G6" s="161">
        <v>5628000</v>
      </c>
      <c r="H6" s="161">
        <v>9290000</v>
      </c>
      <c r="I6" s="161">
        <v>3146000</v>
      </c>
      <c r="J6" s="161">
        <v>8543000</v>
      </c>
      <c r="K6" s="161">
        <v>8445000</v>
      </c>
      <c r="L6" s="161">
        <v>9061000</v>
      </c>
      <c r="M6" s="161">
        <v>11652100</v>
      </c>
      <c r="N6" s="161">
        <v>439000</v>
      </c>
      <c r="O6" s="162">
        <f>SUM(B6:N6)</f>
        <v>74375500</v>
      </c>
      <c r="P6" s="163">
        <v>0</v>
      </c>
      <c r="Q6" s="161">
        <v>1320000</v>
      </c>
      <c r="R6" s="161">
        <v>267840</v>
      </c>
      <c r="S6" s="162">
        <f t="shared" ref="S6:S19" si="0">+Q6+R6</f>
        <v>1587840</v>
      </c>
      <c r="T6" s="164">
        <f>+O6+S6</f>
        <v>75963340</v>
      </c>
      <c r="U6" s="165">
        <f t="shared" ref="U6:U17" si="1">+T6/325872</f>
        <v>233.10790739922425</v>
      </c>
      <c r="V6" s="161">
        <v>0</v>
      </c>
      <c r="W6" s="161">
        <v>10249500</v>
      </c>
      <c r="X6" s="161">
        <v>11102250</v>
      </c>
      <c r="Y6" s="161">
        <v>0</v>
      </c>
      <c r="Z6" s="161">
        <v>0</v>
      </c>
      <c r="AA6" s="166">
        <f t="shared" ref="AA6:AA17" si="2">SUM(V6:Z6)</f>
        <v>21351750</v>
      </c>
      <c r="AB6" s="165">
        <f t="shared" ref="AB6:AB17" si="3">+AA6/325872</f>
        <v>65.521892031226983</v>
      </c>
      <c r="AC6" s="161">
        <f t="shared" ref="AC6:AC17" si="4">+AA6+T6</f>
        <v>97315090</v>
      </c>
      <c r="AD6" s="167">
        <f t="shared" ref="AD6:AD18" si="5">+AC6/325872</f>
        <v>298.62979943045121</v>
      </c>
      <c r="AE6" s="168"/>
      <c r="AF6" s="110">
        <f t="shared" ref="AF6:AF17" si="6">+A6</f>
        <v>41275</v>
      </c>
      <c r="AG6" s="169">
        <f t="shared" ref="AG6:AS17" si="7">+B6/325872</f>
        <v>4.3885329209014579</v>
      </c>
      <c r="AH6" s="170">
        <f t="shared" si="7"/>
        <v>0</v>
      </c>
      <c r="AI6" s="170">
        <f t="shared" si="7"/>
        <v>0</v>
      </c>
      <c r="AJ6" s="170">
        <f t="shared" si="7"/>
        <v>49.010040752197185</v>
      </c>
      <c r="AK6" s="170">
        <f t="shared" si="7"/>
        <v>2.3638115579123093</v>
      </c>
      <c r="AL6" s="170">
        <f t="shared" si="7"/>
        <v>17.270584769480042</v>
      </c>
      <c r="AM6" s="170">
        <f t="shared" si="7"/>
        <v>28.50812588991997</v>
      </c>
      <c r="AN6" s="170">
        <f t="shared" si="7"/>
        <v>9.6540973142829092</v>
      </c>
      <c r="AO6" s="170">
        <f t="shared" si="7"/>
        <v>26.21581479844847</v>
      </c>
      <c r="AP6" s="170">
        <f t="shared" si="7"/>
        <v>25.91508322286051</v>
      </c>
      <c r="AQ6" s="170">
        <f t="shared" si="7"/>
        <v>27.805395983699121</v>
      </c>
      <c r="AR6" s="170">
        <f t="shared" si="7"/>
        <v>35.756677468453873</v>
      </c>
      <c r="AS6" s="170">
        <f t="shared" ref="AS6:AS17" si="8">+P6/325872</f>
        <v>0</v>
      </c>
      <c r="AT6" s="273">
        <f t="shared" ref="AT6:AT17" si="9">+N6/325872</f>
        <v>1.3471547110521922</v>
      </c>
      <c r="AU6" s="170">
        <f t="shared" ref="AU6:AV17" si="10">+Q6/325872</f>
        <v>4.0506702017970246</v>
      </c>
      <c r="AV6" s="170">
        <f t="shared" si="10"/>
        <v>0.82191780821917804</v>
      </c>
      <c r="AW6" s="171">
        <f t="shared" ref="AW6:AW17" si="11">SUM(AU6:AV6)</f>
        <v>4.8725880100162025</v>
      </c>
      <c r="AX6" s="172">
        <f t="shared" ref="AX6:AX17" si="12">SUM(AG6:AV6)</f>
        <v>233.10790739922427</v>
      </c>
      <c r="AY6" s="170">
        <f t="shared" ref="AY6:BC17" si="13">+V6/325872</f>
        <v>0</v>
      </c>
      <c r="AZ6" s="170">
        <f t="shared" si="13"/>
        <v>31.45253351008985</v>
      </c>
      <c r="BA6" s="170">
        <f t="shared" si="13"/>
        <v>34.069358521137133</v>
      </c>
      <c r="BB6" s="170">
        <f t="shared" si="13"/>
        <v>0</v>
      </c>
      <c r="BC6" s="170">
        <f t="shared" si="13"/>
        <v>0</v>
      </c>
      <c r="BD6" s="172">
        <f t="shared" ref="BD6:BD17" si="14">SUM(AY6:BC6)</f>
        <v>65.521892031226983</v>
      </c>
      <c r="BE6" s="173">
        <f t="shared" ref="BE6:BE17" si="15">+BD6+AX6</f>
        <v>298.62979943045127</v>
      </c>
      <c r="BF6" s="136"/>
      <c r="BG6" s="136"/>
      <c r="BH6" s="117">
        <v>40544</v>
      </c>
      <c r="BI6" s="274">
        <f t="shared" ref="BI6:BU8" si="16">+B6/(31*1000000)</f>
        <v>4.6132258064516131E-2</v>
      </c>
      <c r="BJ6" s="274">
        <f t="shared" si="16"/>
        <v>0</v>
      </c>
      <c r="BK6" s="274">
        <f t="shared" si="16"/>
        <v>0</v>
      </c>
      <c r="BL6" s="274">
        <f t="shared" si="16"/>
        <v>0.51519354838709674</v>
      </c>
      <c r="BM6" s="274">
        <f t="shared" si="16"/>
        <v>2.4848387096774192E-2</v>
      </c>
      <c r="BN6" s="274">
        <f t="shared" si="16"/>
        <v>0.18154838709677421</v>
      </c>
      <c r="BO6" s="274">
        <f t="shared" si="16"/>
        <v>0.29967741935483871</v>
      </c>
      <c r="BP6" s="274">
        <f t="shared" si="16"/>
        <v>0.10148387096774193</v>
      </c>
      <c r="BQ6" s="274">
        <f t="shared" si="16"/>
        <v>0.27558064516129033</v>
      </c>
      <c r="BR6" s="274">
        <f t="shared" si="16"/>
        <v>0.27241935483870966</v>
      </c>
      <c r="BS6" s="274">
        <f t="shared" si="16"/>
        <v>0.29229032258064513</v>
      </c>
      <c r="BT6" s="274">
        <f t="shared" si="16"/>
        <v>0.37587419354838708</v>
      </c>
      <c r="BU6" s="275">
        <f t="shared" si="16"/>
        <v>1.4161290322580644E-2</v>
      </c>
      <c r="BV6" s="276">
        <f>+P6/(31*1000000)</f>
        <v>0</v>
      </c>
      <c r="BW6" s="276">
        <f>+Q6/(31*1000000)</f>
        <v>4.2580645161290322E-2</v>
      </c>
      <c r="BX6" s="276">
        <f>+R6/(31*1000000)</f>
        <v>8.6400000000000001E-3</v>
      </c>
      <c r="BY6" s="277">
        <f>SUM(BV6:BX6)</f>
        <v>5.1220645161290324E-2</v>
      </c>
      <c r="BZ6" s="277">
        <f>SUM(BI6:BT6)+BY6</f>
        <v>2.4362690322580649</v>
      </c>
      <c r="CA6" s="276">
        <f>+V6/(31*1000000)</f>
        <v>0</v>
      </c>
      <c r="CB6" s="276">
        <f>+W6/(31*1000000)</f>
        <v>0.3306290322580645</v>
      </c>
      <c r="CC6" s="276">
        <f>+X6/(31*1000000)</f>
        <v>0.35813709677419353</v>
      </c>
      <c r="CD6" s="276">
        <f>+Y6/(31*1000000)</f>
        <v>0</v>
      </c>
      <c r="CE6" s="276">
        <f>+Z6/(31*1000000)</f>
        <v>0</v>
      </c>
      <c r="CF6" s="277">
        <f t="shared" ref="CF6:CF17" si="17">SUM(CA6:CE6)</f>
        <v>0.68876612903225798</v>
      </c>
      <c r="CG6" s="276">
        <f t="shared" ref="CG6:CG19" si="18">+CF6+BZ6</f>
        <v>3.1250351612903229</v>
      </c>
      <c r="CH6" s="278">
        <f t="shared" ref="CH6:CH17" si="19">+CG6/(325872/1000000)</f>
        <v>9.5897627328838411</v>
      </c>
      <c r="CI6" s="279">
        <f t="shared" ref="CI6:CI17" si="20">(+BZ6*1000000)/646272</f>
        <v>3.769727037931498</v>
      </c>
      <c r="CJ6" s="276">
        <f t="shared" ref="CJ6:CK17" si="21">(+CF6*1000000)/646272</f>
        <v>1.0657527001514191</v>
      </c>
      <c r="CK6" s="278">
        <f t="shared" si="21"/>
        <v>4.8354797380829169</v>
      </c>
      <c r="CL6" s="181">
        <f t="shared" ref="CL6:CL17" si="22">+CI6+CJ6</f>
        <v>4.8354797380829169</v>
      </c>
    </row>
    <row r="7" spans="1:90" x14ac:dyDescent="0.2">
      <c r="A7" s="160">
        <f t="shared" ref="A7:A17" si="23">31+A6</f>
        <v>41306</v>
      </c>
      <c r="B7" s="161">
        <v>1317300</v>
      </c>
      <c r="C7" s="161">
        <v>0</v>
      </c>
      <c r="D7" s="80">
        <v>0</v>
      </c>
      <c r="E7" s="161">
        <v>15226000</v>
      </c>
      <c r="F7" s="161">
        <v>6700</v>
      </c>
      <c r="G7" s="161">
        <v>7147000</v>
      </c>
      <c r="H7" s="161">
        <v>8549000</v>
      </c>
      <c r="I7" s="161">
        <v>4030000</v>
      </c>
      <c r="J7" s="161">
        <v>7118000</v>
      </c>
      <c r="K7" s="161">
        <v>8075000</v>
      </c>
      <c r="L7" s="161">
        <v>8926000</v>
      </c>
      <c r="M7" s="161">
        <v>10208200</v>
      </c>
      <c r="N7" s="161">
        <v>3000</v>
      </c>
      <c r="O7" s="162">
        <f>SUM(B7:N7)</f>
        <v>70606200</v>
      </c>
      <c r="P7" s="163">
        <v>0</v>
      </c>
      <c r="Q7" s="161">
        <v>1210000</v>
      </c>
      <c r="R7" s="161">
        <v>241920</v>
      </c>
      <c r="S7" s="162">
        <f t="shared" si="0"/>
        <v>1451920</v>
      </c>
      <c r="T7" s="164">
        <f t="shared" ref="T7:T19" si="24">+O7+S7</f>
        <v>72058120</v>
      </c>
      <c r="U7" s="165">
        <f t="shared" si="1"/>
        <v>221.12399960720774</v>
      </c>
      <c r="V7" s="161">
        <v>0</v>
      </c>
      <c r="W7" s="161">
        <v>8520750</v>
      </c>
      <c r="X7" s="161">
        <v>7180500</v>
      </c>
      <c r="Y7" s="161">
        <v>0</v>
      </c>
      <c r="Z7" s="161">
        <v>1943304</v>
      </c>
      <c r="AA7" s="166">
        <f t="shared" si="2"/>
        <v>17644554</v>
      </c>
      <c r="AB7" s="165">
        <f t="shared" si="3"/>
        <v>54.145658418029164</v>
      </c>
      <c r="AC7" s="161">
        <f t="shared" si="4"/>
        <v>89702674</v>
      </c>
      <c r="AD7" s="167">
        <f t="shared" si="5"/>
        <v>275.26965802523688</v>
      </c>
      <c r="AE7" s="168"/>
      <c r="AF7" s="110">
        <f t="shared" si="6"/>
        <v>41306</v>
      </c>
      <c r="AG7" s="169">
        <f t="shared" si="7"/>
        <v>4.0423847400206219</v>
      </c>
      <c r="AH7" s="170">
        <f t="shared" si="7"/>
        <v>0</v>
      </c>
      <c r="AI7" s="170">
        <f t="shared" si="7"/>
        <v>0</v>
      </c>
      <c r="AJ7" s="170">
        <f t="shared" si="7"/>
        <v>46.723867039819318</v>
      </c>
      <c r="AK7" s="170">
        <f t="shared" si="7"/>
        <v>2.0560219963666717E-2</v>
      </c>
      <c r="AL7" s="170">
        <f t="shared" si="7"/>
        <v>21.931924191093437</v>
      </c>
      <c r="AM7" s="170">
        <f t="shared" si="7"/>
        <v>26.234226935729367</v>
      </c>
      <c r="AN7" s="170">
        <f t="shared" si="7"/>
        <v>12.366818873668189</v>
      </c>
      <c r="AO7" s="170">
        <f t="shared" si="7"/>
        <v>21.842932194235775</v>
      </c>
      <c r="AP7" s="170">
        <f t="shared" si="7"/>
        <v>24.779668090538618</v>
      </c>
      <c r="AQ7" s="170">
        <f t="shared" si="7"/>
        <v>27.391122894878972</v>
      </c>
      <c r="AR7" s="170">
        <f t="shared" si="7"/>
        <v>31.325796631806352</v>
      </c>
      <c r="AS7" s="170">
        <f t="shared" si="7"/>
        <v>9.2060686404477829E-3</v>
      </c>
      <c r="AT7" s="171">
        <f>+P7/325872</f>
        <v>0</v>
      </c>
      <c r="AU7" s="170">
        <f t="shared" si="10"/>
        <v>3.7131143516472727</v>
      </c>
      <c r="AV7" s="170">
        <f t="shared" si="10"/>
        <v>0.74237737516570923</v>
      </c>
      <c r="AW7" s="171">
        <f t="shared" si="11"/>
        <v>4.4554917268129817</v>
      </c>
      <c r="AX7" s="172">
        <f t="shared" si="12"/>
        <v>221.12399960720779</v>
      </c>
      <c r="AY7" s="170">
        <f t="shared" si="13"/>
        <v>0</v>
      </c>
      <c r="AZ7" s="170">
        <f t="shared" si="13"/>
        <v>26.147536456031816</v>
      </c>
      <c r="BA7" s="170">
        <f t="shared" si="13"/>
        <v>22.034725290911769</v>
      </c>
      <c r="BB7" s="170">
        <f t="shared" si="13"/>
        <v>0</v>
      </c>
      <c r="BC7" s="170">
        <f t="shared" si="13"/>
        <v>5.9633966710855795</v>
      </c>
      <c r="BD7" s="172">
        <f t="shared" si="14"/>
        <v>54.145658418029157</v>
      </c>
      <c r="BE7" s="173">
        <f t="shared" si="15"/>
        <v>275.26965802523694</v>
      </c>
      <c r="BF7" s="136"/>
      <c r="BG7" s="136"/>
      <c r="BH7" s="132">
        <f t="shared" ref="BH7:BH17" si="25">31+BH6</f>
        <v>40575</v>
      </c>
      <c r="BI7" s="276">
        <f>+B7/(28*1000000)</f>
        <v>4.7046428571428572E-2</v>
      </c>
      <c r="BJ7" s="276">
        <f>+C7/(28*1000000)</f>
        <v>0</v>
      </c>
      <c r="BK7" s="276">
        <f t="shared" si="16"/>
        <v>0</v>
      </c>
      <c r="BL7" s="276">
        <f t="shared" ref="BL7:BU7" si="26">+E7/(28*1000000)</f>
        <v>0.54378571428571432</v>
      </c>
      <c r="BM7" s="276">
        <f t="shared" si="26"/>
        <v>2.3928571428571429E-4</v>
      </c>
      <c r="BN7" s="276">
        <f t="shared" si="26"/>
        <v>0.25524999999999998</v>
      </c>
      <c r="BO7" s="276">
        <f t="shared" si="26"/>
        <v>0.30532142857142858</v>
      </c>
      <c r="BP7" s="276">
        <f t="shared" si="26"/>
        <v>0.14392857142857143</v>
      </c>
      <c r="BQ7" s="276">
        <f t="shared" si="26"/>
        <v>0.25421428571428573</v>
      </c>
      <c r="BR7" s="276">
        <f t="shared" si="26"/>
        <v>0.28839285714285712</v>
      </c>
      <c r="BS7" s="276">
        <f t="shared" si="26"/>
        <v>0.31878571428571428</v>
      </c>
      <c r="BT7" s="276">
        <f t="shared" si="26"/>
        <v>0.36457857142857142</v>
      </c>
      <c r="BU7" s="278">
        <f t="shared" si="26"/>
        <v>1.0714285714285714E-4</v>
      </c>
      <c r="BV7" s="276">
        <f>+P7/(28*1000000)</f>
        <v>0</v>
      </c>
      <c r="BW7" s="276">
        <f>+Q7/(28*1000000)</f>
        <v>4.3214285714285712E-2</v>
      </c>
      <c r="BX7" s="276">
        <f>+R7/(28*1000000)</f>
        <v>8.6400000000000001E-3</v>
      </c>
      <c r="BY7" s="277">
        <f>SUM(BV7:BX7)</f>
        <v>5.1854285714285714E-2</v>
      </c>
      <c r="BZ7" s="277">
        <f t="shared" ref="BZ7:BZ17" si="27">SUM(BI7:BT7)+BY7</f>
        <v>2.5733971428571429</v>
      </c>
      <c r="CA7" s="276">
        <f>+V7/(28*1000000)</f>
        <v>0</v>
      </c>
      <c r="CB7" s="276">
        <f>+W7/(28*1000000)</f>
        <v>0.30431249999999999</v>
      </c>
      <c r="CC7" s="276">
        <f>+X7/(28*1000000)</f>
        <v>0.25644642857142858</v>
      </c>
      <c r="CD7" s="276">
        <f>+Y7/(28*1000000)</f>
        <v>0</v>
      </c>
      <c r="CE7" s="276">
        <f>+Z7/(28*1000000)</f>
        <v>6.9403714285714291E-2</v>
      </c>
      <c r="CF7" s="277">
        <f t="shared" si="17"/>
        <v>0.63016264285714274</v>
      </c>
      <c r="CG7" s="276">
        <f t="shared" si="18"/>
        <v>3.2035597857142859</v>
      </c>
      <c r="CH7" s="278">
        <f t="shared" si="19"/>
        <v>9.8307304270213027</v>
      </c>
      <c r="CI7" s="279">
        <f t="shared" si="20"/>
        <v>3.9819103146309027</v>
      </c>
      <c r="CJ7" s="276">
        <f t="shared" si="21"/>
        <v>0.97507341004583636</v>
      </c>
      <c r="CK7" s="278">
        <f t="shared" si="21"/>
        <v>4.9569837246767401</v>
      </c>
      <c r="CL7" s="181">
        <f t="shared" si="22"/>
        <v>4.9569837246767392</v>
      </c>
    </row>
    <row r="8" spans="1:90" x14ac:dyDescent="0.2">
      <c r="A8" s="160">
        <f t="shared" si="23"/>
        <v>41337</v>
      </c>
      <c r="B8" s="161">
        <v>4276300</v>
      </c>
      <c r="C8" s="161">
        <v>0</v>
      </c>
      <c r="D8" s="186">
        <v>0</v>
      </c>
      <c r="E8" s="186">
        <v>16347000</v>
      </c>
      <c r="F8" s="186">
        <v>478800</v>
      </c>
      <c r="G8" s="186">
        <v>12584000</v>
      </c>
      <c r="H8" s="186">
        <v>9525000</v>
      </c>
      <c r="I8" s="186">
        <v>6566000</v>
      </c>
      <c r="J8" s="186">
        <v>8864000</v>
      </c>
      <c r="K8" s="186">
        <v>8864000</v>
      </c>
      <c r="L8" s="186">
        <v>8326000</v>
      </c>
      <c r="M8" s="186">
        <v>11005900</v>
      </c>
      <c r="N8" s="186">
        <v>18200</v>
      </c>
      <c r="O8" s="187">
        <f t="shared" ref="O8:O17" si="28">SUM(B8:N8)</f>
        <v>86855200</v>
      </c>
      <c r="P8" s="188">
        <v>0</v>
      </c>
      <c r="Q8" s="186">
        <v>1310000</v>
      </c>
      <c r="R8" s="186">
        <v>312480</v>
      </c>
      <c r="S8" s="187">
        <f t="shared" si="0"/>
        <v>1622480</v>
      </c>
      <c r="T8" s="189">
        <f t="shared" si="24"/>
        <v>88477680</v>
      </c>
      <c r="U8" s="190">
        <f t="shared" si="1"/>
        <v>271.51053174252468</v>
      </c>
      <c r="V8" s="161">
        <v>0</v>
      </c>
      <c r="W8" s="161">
        <v>23178000</v>
      </c>
      <c r="X8" s="161">
        <v>2873250</v>
      </c>
      <c r="Y8" s="161">
        <v>0</v>
      </c>
      <c r="Z8" s="161">
        <v>0</v>
      </c>
      <c r="AA8" s="166">
        <f t="shared" si="2"/>
        <v>26051250</v>
      </c>
      <c r="AB8" s="165">
        <f t="shared" si="3"/>
        <v>79.94319855648844</v>
      </c>
      <c r="AC8" s="161">
        <f t="shared" si="4"/>
        <v>114528930</v>
      </c>
      <c r="AD8" s="167">
        <f t="shared" si="5"/>
        <v>351.4537302990131</v>
      </c>
      <c r="AE8" s="168"/>
      <c r="AF8" s="110">
        <f t="shared" si="6"/>
        <v>41337</v>
      </c>
      <c r="AG8" s="169">
        <f t="shared" si="7"/>
        <v>13.122637109048952</v>
      </c>
      <c r="AH8" s="170">
        <f t="shared" si="7"/>
        <v>0</v>
      </c>
      <c r="AI8" s="170">
        <f t="shared" si="7"/>
        <v>0</v>
      </c>
      <c r="AJ8" s="170">
        <f t="shared" si="7"/>
        <v>50.163868021799971</v>
      </c>
      <c r="AK8" s="170">
        <f t="shared" si="7"/>
        <v>1.4692885550154662</v>
      </c>
      <c r="AL8" s="170">
        <f t="shared" si="7"/>
        <v>38.616389257131637</v>
      </c>
      <c r="AM8" s="170">
        <f t="shared" si="7"/>
        <v>29.229267933421713</v>
      </c>
      <c r="AN8" s="170">
        <f t="shared" si="7"/>
        <v>20.14901556439338</v>
      </c>
      <c r="AO8" s="170">
        <f t="shared" si="7"/>
        <v>27.200864142976382</v>
      </c>
      <c r="AP8" s="170">
        <f t="shared" si="7"/>
        <v>27.200864142976382</v>
      </c>
      <c r="AQ8" s="170">
        <f t="shared" si="7"/>
        <v>25.549909166789416</v>
      </c>
      <c r="AR8" s="170">
        <f t="shared" si="7"/>
        <v>33.77369028330142</v>
      </c>
      <c r="AS8" s="170">
        <f t="shared" si="8"/>
        <v>0</v>
      </c>
      <c r="AT8" s="171">
        <f t="shared" si="9"/>
        <v>5.5850149752049882E-2</v>
      </c>
      <c r="AU8" s="170">
        <f t="shared" si="10"/>
        <v>4.0199833063288652</v>
      </c>
      <c r="AV8" s="170">
        <f t="shared" si="10"/>
        <v>0.95890410958904104</v>
      </c>
      <c r="AW8" s="171">
        <f t="shared" si="11"/>
        <v>4.9788874159179066</v>
      </c>
      <c r="AX8" s="172">
        <f t="shared" si="12"/>
        <v>271.51053174252468</v>
      </c>
      <c r="AY8" s="170">
        <f t="shared" si="13"/>
        <v>0</v>
      </c>
      <c r="AZ8" s="170">
        <f t="shared" si="13"/>
        <v>71.126086316099574</v>
      </c>
      <c r="BA8" s="170">
        <f t="shared" si="13"/>
        <v>8.8171122403888642</v>
      </c>
      <c r="BB8" s="170">
        <f t="shared" si="13"/>
        <v>0</v>
      </c>
      <c r="BC8" s="170">
        <f t="shared" si="13"/>
        <v>0</v>
      </c>
      <c r="BD8" s="172">
        <f t="shared" si="14"/>
        <v>79.94319855648844</v>
      </c>
      <c r="BE8" s="173">
        <f t="shared" si="15"/>
        <v>351.4537302990131</v>
      </c>
      <c r="BF8" s="136"/>
      <c r="BG8" s="136">
        <f>+AY8+AZ8+BA8</f>
        <v>79.94319855648844</v>
      </c>
      <c r="BH8" s="132">
        <f t="shared" si="25"/>
        <v>40606</v>
      </c>
      <c r="BI8" s="276">
        <f t="shared" si="16"/>
        <v>0.13794516129032258</v>
      </c>
      <c r="BJ8" s="276">
        <f t="shared" si="16"/>
        <v>0</v>
      </c>
      <c r="BK8" s="276">
        <f t="shared" si="16"/>
        <v>0</v>
      </c>
      <c r="BL8" s="276">
        <f t="shared" si="16"/>
        <v>0.52732258064516124</v>
      </c>
      <c r="BM8" s="276">
        <f t="shared" si="16"/>
        <v>1.5445161290322581E-2</v>
      </c>
      <c r="BN8" s="276">
        <f t="shared" si="16"/>
        <v>0.40593548387096773</v>
      </c>
      <c r="BO8" s="276">
        <f t="shared" si="16"/>
        <v>0.30725806451612903</v>
      </c>
      <c r="BP8" s="276">
        <f t="shared" si="16"/>
        <v>0.21180645161290323</v>
      </c>
      <c r="BQ8" s="276">
        <f t="shared" si="16"/>
        <v>0.28593548387096773</v>
      </c>
      <c r="BR8" s="276">
        <f t="shared" si="16"/>
        <v>0.28593548387096773</v>
      </c>
      <c r="BS8" s="276">
        <f t="shared" si="16"/>
        <v>0.26858064516129032</v>
      </c>
      <c r="BT8" s="276">
        <f t="shared" si="16"/>
        <v>0.35502903225806454</v>
      </c>
      <c r="BU8" s="278">
        <f>+N8/(31*1000000)</f>
        <v>5.8709677419354841E-4</v>
      </c>
      <c r="BV8" s="276">
        <f>+P8/(31*1000000)</f>
        <v>0</v>
      </c>
      <c r="BW8" s="276">
        <f>+Q8/(31*1000000)</f>
        <v>4.2258064516129033E-2</v>
      </c>
      <c r="BX8" s="276">
        <f>+R8/(31*1000000)</f>
        <v>1.008E-2</v>
      </c>
      <c r="BY8" s="277">
        <f>SUM(BV8:BX8)</f>
        <v>5.2338064516129032E-2</v>
      </c>
      <c r="BZ8" s="277">
        <f t="shared" si="27"/>
        <v>2.8535316129032258</v>
      </c>
      <c r="CA8" s="276">
        <f>+V8/(31*1000000)</f>
        <v>0</v>
      </c>
      <c r="CB8" s="276">
        <f>+W8/(31*1000000)</f>
        <v>0.74767741935483867</v>
      </c>
      <c r="CC8" s="276">
        <f>+X8/(31*1000000)</f>
        <v>9.2685483870967741E-2</v>
      </c>
      <c r="CD8" s="276">
        <f>+Y8/(31*1000000)</f>
        <v>0</v>
      </c>
      <c r="CE8" s="276">
        <f>+Z8/(31*1000000)</f>
        <v>0</v>
      </c>
      <c r="CF8" s="277">
        <f t="shared" si="17"/>
        <v>0.84036290322580642</v>
      </c>
      <c r="CG8" s="276">
        <f t="shared" si="18"/>
        <v>3.6938945161290322</v>
      </c>
      <c r="CH8" s="278">
        <f t="shared" si="19"/>
        <v>11.335415488685841</v>
      </c>
      <c r="CI8" s="279">
        <f t="shared" si="20"/>
        <v>4.4153724947131021</v>
      </c>
      <c r="CJ8" s="276">
        <f t="shared" si="21"/>
        <v>1.3003238624384259</v>
      </c>
      <c r="CK8" s="278">
        <f t="shared" si="21"/>
        <v>5.7156963571515282</v>
      </c>
      <c r="CL8" s="181">
        <f t="shared" si="22"/>
        <v>5.7156963571515282</v>
      </c>
    </row>
    <row r="9" spans="1:90" x14ac:dyDescent="0.2">
      <c r="A9" s="160">
        <f t="shared" si="23"/>
        <v>41368</v>
      </c>
      <c r="B9" s="161">
        <v>4902600</v>
      </c>
      <c r="C9" s="161">
        <v>0</v>
      </c>
      <c r="D9" s="161">
        <v>0</v>
      </c>
      <c r="E9" s="161">
        <v>13839000</v>
      </c>
      <c r="F9" s="161">
        <v>1834700</v>
      </c>
      <c r="G9" s="161">
        <v>11715000</v>
      </c>
      <c r="H9" s="161">
        <v>8911000</v>
      </c>
      <c r="I9" s="161">
        <v>5947000</v>
      </c>
      <c r="J9" s="161">
        <v>6552000</v>
      </c>
      <c r="K9" s="161">
        <v>7823000</v>
      </c>
      <c r="L9" s="161">
        <v>6177000</v>
      </c>
      <c r="M9" s="161">
        <v>10186800</v>
      </c>
      <c r="N9" s="161">
        <v>32700</v>
      </c>
      <c r="O9" s="162">
        <f t="shared" si="28"/>
        <v>77920800</v>
      </c>
      <c r="P9" s="163">
        <v>0</v>
      </c>
      <c r="Q9" s="161">
        <v>1396000</v>
      </c>
      <c r="R9" s="161">
        <v>312480</v>
      </c>
      <c r="S9" s="162">
        <f t="shared" si="0"/>
        <v>1708480</v>
      </c>
      <c r="T9" s="164">
        <f t="shared" si="24"/>
        <v>79629280</v>
      </c>
      <c r="U9" s="165">
        <f t="shared" si="1"/>
        <v>244.35753915647862</v>
      </c>
      <c r="V9" s="161">
        <v>0</v>
      </c>
      <c r="W9" s="161">
        <v>22915500</v>
      </c>
      <c r="X9" s="161">
        <v>17895000</v>
      </c>
      <c r="Y9" s="161">
        <v>0</v>
      </c>
      <c r="Z9" s="161">
        <v>0</v>
      </c>
      <c r="AA9" s="166">
        <f t="shared" si="2"/>
        <v>40810500</v>
      </c>
      <c r="AB9" s="165">
        <f t="shared" si="3"/>
        <v>125.23475475033142</v>
      </c>
      <c r="AC9" s="161">
        <f t="shared" si="4"/>
        <v>120439780</v>
      </c>
      <c r="AD9" s="167">
        <f t="shared" si="5"/>
        <v>369.59229390681003</v>
      </c>
      <c r="AE9" s="168"/>
      <c r="AF9" s="110">
        <f t="shared" si="6"/>
        <v>41368</v>
      </c>
      <c r="AG9" s="169">
        <f t="shared" si="7"/>
        <v>15.044557372219767</v>
      </c>
      <c r="AH9" s="170">
        <f t="shared" si="7"/>
        <v>0</v>
      </c>
      <c r="AI9" s="170">
        <f t="shared" si="7"/>
        <v>0</v>
      </c>
      <c r="AJ9" s="170">
        <f t="shared" si="7"/>
        <v>42.467594638385627</v>
      </c>
      <c r="AK9" s="170">
        <f t="shared" si="7"/>
        <v>5.6301247115431829</v>
      </c>
      <c r="AL9" s="170">
        <f t="shared" si="7"/>
        <v>35.94969804094859</v>
      </c>
      <c r="AM9" s="170">
        <f t="shared" si="7"/>
        <v>27.345092551676732</v>
      </c>
      <c r="AN9" s="170">
        <f t="shared" si="7"/>
        <v>18.249496734914324</v>
      </c>
      <c r="AO9" s="170">
        <f t="shared" si="7"/>
        <v>20.106053910737959</v>
      </c>
      <c r="AP9" s="170">
        <f t="shared" si="7"/>
        <v>24.006358324741001</v>
      </c>
      <c r="AQ9" s="170">
        <f t="shared" si="7"/>
        <v>18.955295330681984</v>
      </c>
      <c r="AR9" s="170">
        <f t="shared" si="7"/>
        <v>31.260126675504491</v>
      </c>
      <c r="AS9" s="170">
        <f t="shared" si="8"/>
        <v>0</v>
      </c>
      <c r="AT9" s="171">
        <f t="shared" si="9"/>
        <v>0.10034614818088083</v>
      </c>
      <c r="AU9" s="170">
        <f t="shared" si="10"/>
        <v>4.2838906073550351</v>
      </c>
      <c r="AV9" s="170">
        <f t="shared" si="10"/>
        <v>0.95890410958904104</v>
      </c>
      <c r="AW9" s="171">
        <f t="shared" si="11"/>
        <v>5.2427947169440765</v>
      </c>
      <c r="AX9" s="172">
        <f t="shared" si="12"/>
        <v>244.35753915647862</v>
      </c>
      <c r="AY9" s="170">
        <f t="shared" si="13"/>
        <v>0</v>
      </c>
      <c r="AZ9" s="170">
        <f t="shared" si="13"/>
        <v>70.320555310060385</v>
      </c>
      <c r="BA9" s="170">
        <f t="shared" si="13"/>
        <v>54.914199440271027</v>
      </c>
      <c r="BB9" s="170">
        <f t="shared" si="13"/>
        <v>0</v>
      </c>
      <c r="BC9" s="170">
        <f t="shared" si="13"/>
        <v>0</v>
      </c>
      <c r="BD9" s="172">
        <f t="shared" si="14"/>
        <v>125.2347547503314</v>
      </c>
      <c r="BE9" s="173">
        <f t="shared" si="15"/>
        <v>369.59229390681003</v>
      </c>
      <c r="BF9" s="136"/>
      <c r="BG9" s="136">
        <f>+BG8/BD8</f>
        <v>1</v>
      </c>
      <c r="BH9" s="132">
        <f t="shared" si="25"/>
        <v>40637</v>
      </c>
      <c r="BI9" s="276">
        <f t="shared" ref="BI9:BT9" si="29">+B9/(30*1000000)</f>
        <v>0.16342000000000001</v>
      </c>
      <c r="BJ9" s="276">
        <f t="shared" si="29"/>
        <v>0</v>
      </c>
      <c r="BK9" s="276">
        <f t="shared" si="29"/>
        <v>0</v>
      </c>
      <c r="BL9" s="276">
        <f t="shared" si="29"/>
        <v>0.46129999999999999</v>
      </c>
      <c r="BM9" s="276">
        <f t="shared" si="29"/>
        <v>6.1156666666666665E-2</v>
      </c>
      <c r="BN9" s="276">
        <f t="shared" si="29"/>
        <v>0.39050000000000001</v>
      </c>
      <c r="BO9" s="276">
        <f t="shared" si="29"/>
        <v>0.29703333333333332</v>
      </c>
      <c r="BP9" s="276">
        <f t="shared" si="29"/>
        <v>0.19823333333333334</v>
      </c>
      <c r="BQ9" s="276">
        <f t="shared" si="29"/>
        <v>0.21840000000000001</v>
      </c>
      <c r="BR9" s="276">
        <f t="shared" si="29"/>
        <v>0.26076666666666665</v>
      </c>
      <c r="BS9" s="276">
        <f t="shared" si="29"/>
        <v>0.2059</v>
      </c>
      <c r="BT9" s="276">
        <f t="shared" si="29"/>
        <v>0.33955999999999997</v>
      </c>
      <c r="BU9" s="278">
        <f>+N9/(31*1000000)</f>
        <v>1.0548387096774193E-3</v>
      </c>
      <c r="BV9" s="276">
        <f>+P9/(30*1000000)</f>
        <v>0</v>
      </c>
      <c r="BW9" s="276">
        <f>+Q9/(30*1000000)</f>
        <v>4.6533333333333336E-2</v>
      </c>
      <c r="BX9" s="276">
        <f>+R9/(30*1000000)</f>
        <v>1.0416E-2</v>
      </c>
      <c r="BY9" s="277">
        <f>SUM(BV9:BX9)</f>
        <v>5.6949333333333338E-2</v>
      </c>
      <c r="BZ9" s="277">
        <f t="shared" si="27"/>
        <v>2.6532193333333334</v>
      </c>
      <c r="CA9" s="276">
        <f>+V9/(30*1000000)</f>
        <v>0</v>
      </c>
      <c r="CB9" s="276">
        <f>+W9/(30*1000000)</f>
        <v>0.76385000000000003</v>
      </c>
      <c r="CC9" s="276">
        <f>+X9/(30*1000000)</f>
        <v>0.59650000000000003</v>
      </c>
      <c r="CD9" s="276">
        <f>+Y9/(30*1000000)</f>
        <v>0</v>
      </c>
      <c r="CE9" s="276">
        <f>+Z9/(30*1000000)</f>
        <v>0</v>
      </c>
      <c r="CF9" s="277">
        <f t="shared" si="17"/>
        <v>1.3603499999999999</v>
      </c>
      <c r="CG9" s="276">
        <f t="shared" si="18"/>
        <v>4.0135693333333329</v>
      </c>
      <c r="CH9" s="278">
        <f t="shared" si="19"/>
        <v>12.316398258620971</v>
      </c>
      <c r="CI9" s="279">
        <f t="shared" si="20"/>
        <v>4.1054220720274648</v>
      </c>
      <c r="CJ9" s="276">
        <f t="shared" si="21"/>
        <v>2.1049186720142603</v>
      </c>
      <c r="CK9" s="278">
        <f t="shared" si="21"/>
        <v>6.2103407440417238</v>
      </c>
      <c r="CL9" s="181">
        <f t="shared" si="22"/>
        <v>6.2103407440417246</v>
      </c>
    </row>
    <row r="10" spans="1:90" x14ac:dyDescent="0.2">
      <c r="A10" s="160">
        <f t="shared" si="23"/>
        <v>41399</v>
      </c>
      <c r="B10" s="161">
        <v>5914200</v>
      </c>
      <c r="C10" s="161">
        <v>0</v>
      </c>
      <c r="D10" s="161">
        <v>0</v>
      </c>
      <c r="E10" s="161">
        <v>13924000</v>
      </c>
      <c r="F10" s="161">
        <v>70300</v>
      </c>
      <c r="G10" s="161">
        <v>12507000</v>
      </c>
      <c r="H10" s="161">
        <v>9392000</v>
      </c>
      <c r="I10" s="161">
        <v>6124000</v>
      </c>
      <c r="J10" s="161">
        <v>7093000</v>
      </c>
      <c r="K10" s="161">
        <v>8151000</v>
      </c>
      <c r="L10" s="161">
        <v>9904000</v>
      </c>
      <c r="M10" s="161">
        <v>10054900</v>
      </c>
      <c r="N10" s="161">
        <v>2300</v>
      </c>
      <c r="O10" s="162">
        <f t="shared" si="28"/>
        <v>83136700</v>
      </c>
      <c r="P10" s="163">
        <v>0</v>
      </c>
      <c r="Q10" s="161">
        <v>1444000</v>
      </c>
      <c r="R10" s="161">
        <v>312480</v>
      </c>
      <c r="S10" s="162">
        <f t="shared" si="0"/>
        <v>1756480</v>
      </c>
      <c r="T10" s="164">
        <f t="shared" si="24"/>
        <v>84893180</v>
      </c>
      <c r="U10" s="165">
        <f>+T10/325872</f>
        <v>260.510814061963</v>
      </c>
      <c r="V10" s="161">
        <v>54000</v>
      </c>
      <c r="W10" s="161">
        <v>25240500</v>
      </c>
      <c r="X10" s="161">
        <v>19958250</v>
      </c>
      <c r="Y10" s="161">
        <v>0</v>
      </c>
      <c r="Z10" s="161">
        <v>0</v>
      </c>
      <c r="AA10" s="166">
        <f t="shared" si="2"/>
        <v>45252750</v>
      </c>
      <c r="AB10" s="165">
        <f t="shared" si="3"/>
        <v>138.86664088967447</v>
      </c>
      <c r="AC10" s="161">
        <f t="shared" si="4"/>
        <v>130145930</v>
      </c>
      <c r="AD10" s="167">
        <f t="shared" si="5"/>
        <v>399.37745495163745</v>
      </c>
      <c r="AE10" s="168"/>
      <c r="AF10" s="110">
        <f t="shared" si="6"/>
        <v>41399</v>
      </c>
      <c r="AG10" s="169">
        <f t="shared" si="7"/>
        <v>18.14884371777876</v>
      </c>
      <c r="AH10" s="170">
        <f t="shared" si="7"/>
        <v>0</v>
      </c>
      <c r="AI10" s="170">
        <f t="shared" si="7"/>
        <v>0</v>
      </c>
      <c r="AJ10" s="170">
        <f t="shared" si="7"/>
        <v>42.728433249864977</v>
      </c>
      <c r="AK10" s="170">
        <f t="shared" si="7"/>
        <v>0.21572887514115971</v>
      </c>
      <c r="AL10" s="170">
        <f t="shared" si="7"/>
        <v>38.380100162026807</v>
      </c>
      <c r="AM10" s="170">
        <f t="shared" si="7"/>
        <v>28.821132223695194</v>
      </c>
      <c r="AN10" s="170">
        <f t="shared" si="7"/>
        <v>18.792654784700741</v>
      </c>
      <c r="AO10" s="170">
        <f t="shared" si="7"/>
        <v>21.766214955565374</v>
      </c>
      <c r="AP10" s="170">
        <f t="shared" si="7"/>
        <v>25.012888496096625</v>
      </c>
      <c r="AQ10" s="170">
        <f t="shared" si="7"/>
        <v>30.392301271664948</v>
      </c>
      <c r="AR10" s="170">
        <f t="shared" si="7"/>
        <v>30.855366524279471</v>
      </c>
      <c r="AS10" s="170">
        <f t="shared" si="8"/>
        <v>0</v>
      </c>
      <c r="AT10" s="171">
        <f t="shared" si="9"/>
        <v>7.0579859576766334E-3</v>
      </c>
      <c r="AU10" s="170">
        <f t="shared" si="10"/>
        <v>4.4311877056021993</v>
      </c>
      <c r="AV10" s="170">
        <f t="shared" si="10"/>
        <v>0.95890410958904104</v>
      </c>
      <c r="AW10" s="171">
        <f t="shared" si="11"/>
        <v>5.3900918151912407</v>
      </c>
      <c r="AX10" s="172">
        <f t="shared" si="12"/>
        <v>260.51081406196295</v>
      </c>
      <c r="AY10" s="170">
        <f t="shared" si="13"/>
        <v>0.16570923552806011</v>
      </c>
      <c r="AZ10" s="170">
        <f t="shared" si="13"/>
        <v>77.455258506407418</v>
      </c>
      <c r="BA10" s="170">
        <f t="shared" si="13"/>
        <v>61.245673147738991</v>
      </c>
      <c r="BB10" s="170">
        <f t="shared" si="13"/>
        <v>0</v>
      </c>
      <c r="BC10" s="170">
        <f t="shared" si="13"/>
        <v>0</v>
      </c>
      <c r="BD10" s="172">
        <f t="shared" si="14"/>
        <v>138.86664088967447</v>
      </c>
      <c r="BE10" s="173">
        <f t="shared" si="15"/>
        <v>399.37745495163745</v>
      </c>
      <c r="BF10" s="136"/>
      <c r="BG10" s="136"/>
      <c r="BH10" s="132">
        <f t="shared" si="25"/>
        <v>40668</v>
      </c>
      <c r="BI10" s="276">
        <f t="shared" ref="BI10:BT10" si="30">+B10/(31*1000000)</f>
        <v>0.19078064516129031</v>
      </c>
      <c r="BJ10" s="276">
        <f t="shared" si="30"/>
        <v>0</v>
      </c>
      <c r="BK10" s="276">
        <f t="shared" si="30"/>
        <v>0</v>
      </c>
      <c r="BL10" s="276">
        <f t="shared" si="30"/>
        <v>0.44916129032258062</v>
      </c>
      <c r="BM10" s="276">
        <f t="shared" si="30"/>
        <v>2.2677419354838711E-3</v>
      </c>
      <c r="BN10" s="276">
        <f t="shared" si="30"/>
        <v>0.40345161290322579</v>
      </c>
      <c r="BO10" s="276">
        <f t="shared" si="30"/>
        <v>0.30296774193548387</v>
      </c>
      <c r="BP10" s="276">
        <f t="shared" si="30"/>
        <v>0.19754838709677419</v>
      </c>
      <c r="BQ10" s="276">
        <f t="shared" si="30"/>
        <v>0.22880645161290322</v>
      </c>
      <c r="BR10" s="276">
        <f t="shared" si="30"/>
        <v>0.26293548387096777</v>
      </c>
      <c r="BS10" s="276">
        <f t="shared" si="30"/>
        <v>0.31948387096774195</v>
      </c>
      <c r="BT10" s="276">
        <f t="shared" si="30"/>
        <v>0.32435161290322578</v>
      </c>
      <c r="BU10" s="278">
        <f>+N10/(31*1000000)</f>
        <v>7.4193548387096773E-5</v>
      </c>
      <c r="BV10" s="276">
        <f>+P10/(31*1000000)</f>
        <v>0</v>
      </c>
      <c r="BW10" s="276">
        <f>+Q10/(31*1000000)</f>
        <v>4.6580645161290325E-2</v>
      </c>
      <c r="BX10" s="276">
        <f>+R10/(31*1000000)</f>
        <v>1.008E-2</v>
      </c>
      <c r="BY10" s="277">
        <f>SUM(BV10:BX10)</f>
        <v>5.6660645161290324E-2</v>
      </c>
      <c r="BZ10" s="277">
        <f t="shared" si="27"/>
        <v>2.738415483870968</v>
      </c>
      <c r="CA10" s="276">
        <f>+V10/(31*1000000)</f>
        <v>1.7419354838709678E-3</v>
      </c>
      <c r="CB10" s="276">
        <f>+W10/(31*1000000)</f>
        <v>0.81420967741935479</v>
      </c>
      <c r="CC10" s="276">
        <f>+X10/(31*1000000)</f>
        <v>0.64381451612903229</v>
      </c>
      <c r="CD10" s="276">
        <f>+Y10/(31*1000000)</f>
        <v>0</v>
      </c>
      <c r="CE10" s="276">
        <f>+Z10/(31*1000000)</f>
        <v>0</v>
      </c>
      <c r="CF10" s="277">
        <f t="shared" si="17"/>
        <v>1.4597661290322579</v>
      </c>
      <c r="CG10" s="276">
        <f t="shared" si="18"/>
        <v>4.1981816129032259</v>
      </c>
      <c r="CH10" s="278">
        <f t="shared" si="19"/>
        <v>12.882916031150961</v>
      </c>
      <c r="CI10" s="279">
        <f t="shared" si="20"/>
        <v>4.2372491518601585</v>
      </c>
      <c r="CJ10" s="276">
        <f t="shared" si="21"/>
        <v>2.2587488380004981</v>
      </c>
      <c r="CK10" s="278">
        <f t="shared" si="21"/>
        <v>6.4959979898606566</v>
      </c>
      <c r="CL10" s="181">
        <f t="shared" si="22"/>
        <v>6.4959979898606566</v>
      </c>
    </row>
    <row r="11" spans="1:90" x14ac:dyDescent="0.2">
      <c r="A11" s="160">
        <f t="shared" si="23"/>
        <v>41430</v>
      </c>
      <c r="B11" s="161">
        <v>6553200</v>
      </c>
      <c r="C11" s="161">
        <v>0</v>
      </c>
      <c r="D11" s="161">
        <v>0</v>
      </c>
      <c r="E11" s="161">
        <v>13734000</v>
      </c>
      <c r="F11" s="161">
        <v>107900</v>
      </c>
      <c r="G11" s="161">
        <v>11679000</v>
      </c>
      <c r="H11" s="161">
        <v>8696000</v>
      </c>
      <c r="I11" s="161">
        <v>5539000</v>
      </c>
      <c r="J11" s="161">
        <v>5860000</v>
      </c>
      <c r="K11" s="161">
        <v>7856000</v>
      </c>
      <c r="L11" s="161">
        <v>9714000</v>
      </c>
      <c r="M11" s="161">
        <v>8332400</v>
      </c>
      <c r="N11" s="161">
        <v>0</v>
      </c>
      <c r="O11" s="162">
        <f t="shared" si="28"/>
        <v>78071500</v>
      </c>
      <c r="P11" s="163">
        <v>0</v>
      </c>
      <c r="Q11" s="161">
        <v>1420000</v>
      </c>
      <c r="R11" s="161">
        <v>259220</v>
      </c>
      <c r="S11" s="162">
        <f t="shared" si="0"/>
        <v>1679220</v>
      </c>
      <c r="T11" s="164">
        <f t="shared" si="24"/>
        <v>79750720</v>
      </c>
      <c r="U11" s="165">
        <f t="shared" si="1"/>
        <v>244.73020081504396</v>
      </c>
      <c r="V11" s="161">
        <v>11829000</v>
      </c>
      <c r="W11" s="161">
        <v>19688250</v>
      </c>
      <c r="X11" s="161">
        <v>32084250</v>
      </c>
      <c r="Y11" s="161">
        <v>0</v>
      </c>
      <c r="Z11" s="161">
        <v>0</v>
      </c>
      <c r="AA11" s="166">
        <f t="shared" si="2"/>
        <v>63601500</v>
      </c>
      <c r="AB11" s="165">
        <f t="shared" si="3"/>
        <v>195.17325821181322</v>
      </c>
      <c r="AC11" s="161">
        <f t="shared" si="4"/>
        <v>143352220</v>
      </c>
      <c r="AD11" s="167">
        <f t="shared" si="5"/>
        <v>439.90345902685715</v>
      </c>
      <c r="AE11" s="168"/>
      <c r="AF11" s="110">
        <f t="shared" si="6"/>
        <v>41430</v>
      </c>
      <c r="AG11" s="169">
        <f t="shared" si="7"/>
        <v>20.109736338194139</v>
      </c>
      <c r="AH11" s="170">
        <f t="shared" si="7"/>
        <v>0</v>
      </c>
      <c r="AI11" s="170">
        <f t="shared" si="7"/>
        <v>0</v>
      </c>
      <c r="AJ11" s="170">
        <f t="shared" si="7"/>
        <v>42.145382235969954</v>
      </c>
      <c r="AK11" s="170">
        <f t="shared" si="7"/>
        <v>0.33111160210143858</v>
      </c>
      <c r="AL11" s="170">
        <f t="shared" si="7"/>
        <v>35.83922521726322</v>
      </c>
      <c r="AM11" s="170">
        <f t="shared" si="7"/>
        <v>26.685324299111308</v>
      </c>
      <c r="AN11" s="170">
        <f t="shared" si="7"/>
        <v>16.997471399813424</v>
      </c>
      <c r="AO11" s="170">
        <f t="shared" si="7"/>
        <v>17.982520744341336</v>
      </c>
      <c r="AP11" s="170">
        <f t="shared" si="7"/>
        <v>24.10762507978593</v>
      </c>
      <c r="AQ11" s="170">
        <f t="shared" si="7"/>
        <v>29.809250257769921</v>
      </c>
      <c r="AR11" s="170">
        <f t="shared" si="7"/>
        <v>25.569548779889036</v>
      </c>
      <c r="AS11" s="170">
        <f t="shared" si="8"/>
        <v>0</v>
      </c>
      <c r="AT11" s="171">
        <f t="shared" si="9"/>
        <v>0</v>
      </c>
      <c r="AU11" s="170">
        <f t="shared" si="10"/>
        <v>4.3575391564786177</v>
      </c>
      <c r="AV11" s="170">
        <f t="shared" si="10"/>
        <v>0.7954657043256248</v>
      </c>
      <c r="AW11" s="171">
        <f t="shared" si="11"/>
        <v>5.1530048608042422</v>
      </c>
      <c r="AX11" s="172">
        <f t="shared" si="12"/>
        <v>244.73020081504396</v>
      </c>
      <c r="AY11" s="170">
        <f t="shared" si="13"/>
        <v>36.299528649285612</v>
      </c>
      <c r="AZ11" s="170">
        <f t="shared" si="13"/>
        <v>60.417126970098693</v>
      </c>
      <c r="BA11" s="170">
        <f t="shared" si="13"/>
        <v>98.456602592428922</v>
      </c>
      <c r="BB11" s="170">
        <f t="shared" si="13"/>
        <v>0</v>
      </c>
      <c r="BC11" s="170">
        <f t="shared" si="13"/>
        <v>0</v>
      </c>
      <c r="BD11" s="280">
        <f t="shared" si="14"/>
        <v>195.17325821181322</v>
      </c>
      <c r="BE11" s="281">
        <f t="shared" si="15"/>
        <v>439.90345902685715</v>
      </c>
      <c r="BF11" s="136"/>
      <c r="BG11" s="136"/>
      <c r="BH11" s="132">
        <f t="shared" si="25"/>
        <v>40699</v>
      </c>
      <c r="BI11" s="276">
        <f t="shared" ref="BI11:BU11" si="31">+B11/(30*1000000)</f>
        <v>0.21844</v>
      </c>
      <c r="BJ11" s="276">
        <f t="shared" si="31"/>
        <v>0</v>
      </c>
      <c r="BK11" s="276">
        <f t="shared" si="31"/>
        <v>0</v>
      </c>
      <c r="BL11" s="276">
        <f t="shared" si="31"/>
        <v>0.45779999999999998</v>
      </c>
      <c r="BM11" s="276">
        <f t="shared" si="31"/>
        <v>3.5966666666666668E-3</v>
      </c>
      <c r="BN11" s="276">
        <f t="shared" si="31"/>
        <v>0.38929999999999998</v>
      </c>
      <c r="BO11" s="276">
        <f t="shared" si="31"/>
        <v>0.28986666666666666</v>
      </c>
      <c r="BP11" s="276">
        <f t="shared" si="31"/>
        <v>0.18463333333333334</v>
      </c>
      <c r="BQ11" s="276">
        <f t="shared" si="31"/>
        <v>0.19533333333333333</v>
      </c>
      <c r="BR11" s="276">
        <f t="shared" si="31"/>
        <v>0.26186666666666669</v>
      </c>
      <c r="BS11" s="276">
        <f t="shared" si="31"/>
        <v>0.32379999999999998</v>
      </c>
      <c r="BT11" s="276">
        <f t="shared" si="31"/>
        <v>0.27774666666666664</v>
      </c>
      <c r="BU11" s="278">
        <f t="shared" si="31"/>
        <v>0</v>
      </c>
      <c r="BV11" s="276">
        <f>+P11/(30*1000000)</f>
        <v>0</v>
      </c>
      <c r="BW11" s="276">
        <f>+Q11/(30*1000000)</f>
        <v>4.7333333333333331E-2</v>
      </c>
      <c r="BX11" s="276">
        <f>+R11/(30*1000000)</f>
        <v>8.6406666666666663E-3</v>
      </c>
      <c r="BY11" s="276">
        <f>+S11/(30*1000000)</f>
        <v>5.5974000000000003E-2</v>
      </c>
      <c r="BZ11" s="277">
        <f t="shared" si="27"/>
        <v>2.6583573333333335</v>
      </c>
      <c r="CA11" s="276">
        <f>+V11/(30*1000000)</f>
        <v>0.39429999999999998</v>
      </c>
      <c r="CB11" s="276">
        <f>+W11/(30*1000000)</f>
        <v>0.65627500000000005</v>
      </c>
      <c r="CC11" s="276">
        <f>+X11/(30*1000000)</f>
        <v>1.069475</v>
      </c>
      <c r="CD11" s="276">
        <f>+Y11/(30*1000000)</f>
        <v>0</v>
      </c>
      <c r="CE11" s="276">
        <f>+Z11/(30*1000000)</f>
        <v>0</v>
      </c>
      <c r="CF11" s="277">
        <f t="shared" si="17"/>
        <v>2.12005</v>
      </c>
      <c r="CG11" s="276">
        <f t="shared" si="18"/>
        <v>4.7784073333333339</v>
      </c>
      <c r="CH11" s="278">
        <f t="shared" si="19"/>
        <v>14.663448634228574</v>
      </c>
      <c r="CI11" s="279">
        <f t="shared" si="20"/>
        <v>4.1133722849409127</v>
      </c>
      <c r="CJ11" s="276">
        <f t="shared" si="21"/>
        <v>3.2804299118637354</v>
      </c>
      <c r="CK11" s="278">
        <f t="shared" si="21"/>
        <v>7.393802196804649</v>
      </c>
      <c r="CL11" s="181">
        <f t="shared" si="22"/>
        <v>7.3938021968046481</v>
      </c>
    </row>
    <row r="12" spans="1:90" x14ac:dyDescent="0.2">
      <c r="A12" s="160">
        <f t="shared" si="23"/>
        <v>41461</v>
      </c>
      <c r="B12" s="161">
        <v>5416100</v>
      </c>
      <c r="C12" s="161">
        <v>0</v>
      </c>
      <c r="D12" s="161">
        <v>0</v>
      </c>
      <c r="E12" s="161">
        <v>13811000</v>
      </c>
      <c r="F12" s="161">
        <v>443900</v>
      </c>
      <c r="G12" s="161">
        <v>12654000</v>
      </c>
      <c r="H12" s="161">
        <v>9059000</v>
      </c>
      <c r="I12" s="161">
        <v>5455000</v>
      </c>
      <c r="J12" s="161">
        <v>6182000</v>
      </c>
      <c r="K12" s="161">
        <v>7884000</v>
      </c>
      <c r="L12" s="161">
        <v>8675000</v>
      </c>
      <c r="M12" s="161">
        <v>10336300</v>
      </c>
      <c r="N12" s="161">
        <v>0</v>
      </c>
      <c r="O12" s="162">
        <f t="shared" si="28"/>
        <v>79916300</v>
      </c>
      <c r="P12" s="163">
        <v>0</v>
      </c>
      <c r="Q12" s="161">
        <v>1440000</v>
      </c>
      <c r="R12" s="161">
        <v>267800</v>
      </c>
      <c r="S12" s="162">
        <f t="shared" si="0"/>
        <v>1707800</v>
      </c>
      <c r="T12" s="164">
        <f t="shared" si="24"/>
        <v>81624100</v>
      </c>
      <c r="U12" s="165">
        <f t="shared" si="1"/>
        <v>250.47902243825797</v>
      </c>
      <c r="V12" s="161">
        <v>39009750</v>
      </c>
      <c r="W12" s="161">
        <v>7586250</v>
      </c>
      <c r="X12" s="161">
        <v>24052500</v>
      </c>
      <c r="Y12" s="161">
        <v>0</v>
      </c>
      <c r="Z12" s="161">
        <v>0</v>
      </c>
      <c r="AA12" s="166">
        <f t="shared" si="2"/>
        <v>70648500</v>
      </c>
      <c r="AB12" s="165">
        <f t="shared" si="3"/>
        <v>216.79831344822506</v>
      </c>
      <c r="AC12" s="161">
        <f t="shared" si="4"/>
        <v>152272600</v>
      </c>
      <c r="AD12" s="167">
        <f t="shared" si="5"/>
        <v>467.27733588648306</v>
      </c>
      <c r="AE12" s="168"/>
      <c r="AF12" s="110">
        <f t="shared" si="6"/>
        <v>41461</v>
      </c>
      <c r="AG12" s="169">
        <f t="shared" si="7"/>
        <v>16.620329454509747</v>
      </c>
      <c r="AH12" s="170">
        <f t="shared" si="7"/>
        <v>0</v>
      </c>
      <c r="AI12" s="170">
        <f t="shared" si="7"/>
        <v>0</v>
      </c>
      <c r="AJ12" s="170">
        <f t="shared" si="7"/>
        <v>42.381671331074777</v>
      </c>
      <c r="AK12" s="170">
        <f t="shared" si="7"/>
        <v>1.3621912898315902</v>
      </c>
      <c r="AL12" s="170">
        <f t="shared" si="7"/>
        <v>38.831197525408747</v>
      </c>
      <c r="AM12" s="170">
        <f t="shared" si="7"/>
        <v>27.799258604605491</v>
      </c>
      <c r="AN12" s="170">
        <f t="shared" si="7"/>
        <v>16.739701477880885</v>
      </c>
      <c r="AO12" s="170">
        <f t="shared" si="7"/>
        <v>18.970638778416067</v>
      </c>
      <c r="AP12" s="170">
        <f t="shared" si="7"/>
        <v>24.193548387096776</v>
      </c>
      <c r="AQ12" s="170">
        <f t="shared" si="7"/>
        <v>26.620881818628174</v>
      </c>
      <c r="AR12" s="170">
        <f t="shared" si="7"/>
        <v>31.718895762753473</v>
      </c>
      <c r="AS12" s="170">
        <f t="shared" si="8"/>
        <v>0</v>
      </c>
      <c r="AT12" s="171">
        <f t="shared" si="9"/>
        <v>0</v>
      </c>
      <c r="AU12" s="170">
        <f t="shared" si="10"/>
        <v>4.4189129474149356</v>
      </c>
      <c r="AV12" s="170">
        <f t="shared" si="10"/>
        <v>0.82179506063730545</v>
      </c>
      <c r="AW12" s="171">
        <f t="shared" si="11"/>
        <v>5.2407080080522412</v>
      </c>
      <c r="AX12" s="172">
        <f t="shared" si="12"/>
        <v>250.47902243825794</v>
      </c>
      <c r="AY12" s="170">
        <f t="shared" si="13"/>
        <v>119.70881204890264</v>
      </c>
      <c r="AZ12" s="170">
        <f t="shared" si="13"/>
        <v>23.279846074532333</v>
      </c>
      <c r="BA12" s="170">
        <f t="shared" si="13"/>
        <v>73.8096553247901</v>
      </c>
      <c r="BB12" s="170">
        <f t="shared" si="13"/>
        <v>0</v>
      </c>
      <c r="BC12" s="170">
        <f t="shared" si="13"/>
        <v>0</v>
      </c>
      <c r="BD12" s="172">
        <f t="shared" si="14"/>
        <v>216.79831344822509</v>
      </c>
      <c r="BE12" s="173">
        <f t="shared" si="15"/>
        <v>467.277335886483</v>
      </c>
      <c r="BF12" s="136"/>
      <c r="BG12" s="136"/>
      <c r="BH12" s="132">
        <f t="shared" si="25"/>
        <v>40730</v>
      </c>
      <c r="BI12" s="276">
        <f t="shared" ref="BI12:BU13" si="32">+B12/(31*1000000)</f>
        <v>0.17471290322580646</v>
      </c>
      <c r="BJ12" s="276">
        <f t="shared" si="32"/>
        <v>0</v>
      </c>
      <c r="BK12" s="276">
        <f t="shared" si="32"/>
        <v>0</v>
      </c>
      <c r="BL12" s="276">
        <f t="shared" si="32"/>
        <v>0.44551612903225807</v>
      </c>
      <c r="BM12" s="276">
        <f t="shared" si="32"/>
        <v>1.4319354838709678E-2</v>
      </c>
      <c r="BN12" s="276">
        <f t="shared" si="32"/>
        <v>0.40819354838709676</v>
      </c>
      <c r="BO12" s="276">
        <f t="shared" si="32"/>
        <v>0.29222580645161289</v>
      </c>
      <c r="BP12" s="276">
        <f t="shared" si="32"/>
        <v>0.17596774193548387</v>
      </c>
      <c r="BQ12" s="276">
        <f t="shared" si="32"/>
        <v>0.19941935483870968</v>
      </c>
      <c r="BR12" s="276">
        <f t="shared" si="32"/>
        <v>0.25432258064516128</v>
      </c>
      <c r="BS12" s="276">
        <f t="shared" si="32"/>
        <v>0.27983870967741936</v>
      </c>
      <c r="BT12" s="276">
        <f t="shared" si="32"/>
        <v>0.33342903225806453</v>
      </c>
      <c r="BU12" s="278">
        <f t="shared" si="32"/>
        <v>0</v>
      </c>
      <c r="BV12" s="276">
        <f t="shared" ref="BV12:BX13" si="33">+P12/(31*1000000)</f>
        <v>0</v>
      </c>
      <c r="BW12" s="276">
        <f t="shared" si="33"/>
        <v>4.645161290322581E-2</v>
      </c>
      <c r="BX12" s="276">
        <f t="shared" si="33"/>
        <v>8.6387096774193546E-3</v>
      </c>
      <c r="BY12" s="277">
        <f t="shared" ref="BY12:BY17" si="34">SUM(BV12:BX12)</f>
        <v>5.5090322580645168E-2</v>
      </c>
      <c r="BZ12" s="277">
        <f t="shared" si="27"/>
        <v>2.6330354838709678</v>
      </c>
      <c r="CA12" s="276">
        <f t="shared" ref="CA12:CE13" si="35">+V12/(31*1000000)</f>
        <v>1.2583790322580646</v>
      </c>
      <c r="CB12" s="276">
        <f t="shared" si="35"/>
        <v>0.24471774193548387</v>
      </c>
      <c r="CC12" s="276">
        <f t="shared" si="35"/>
        <v>0.77588709677419354</v>
      </c>
      <c r="CD12" s="276">
        <f t="shared" si="35"/>
        <v>0</v>
      </c>
      <c r="CE12" s="276">
        <f t="shared" si="35"/>
        <v>0</v>
      </c>
      <c r="CF12" s="277">
        <f t="shared" si="17"/>
        <v>2.2789838709677417</v>
      </c>
      <c r="CG12" s="276">
        <f t="shared" si="18"/>
        <v>4.9120193548387094</v>
      </c>
      <c r="CH12" s="278">
        <f t="shared" si="19"/>
        <v>15.073462447951066</v>
      </c>
      <c r="CI12" s="279">
        <f t="shared" si="20"/>
        <v>4.0741908729930554</v>
      </c>
      <c r="CJ12" s="276">
        <f t="shared" si="21"/>
        <v>3.5263540289038384</v>
      </c>
      <c r="CK12" s="278">
        <f t="shared" si="21"/>
        <v>7.6005449018968934</v>
      </c>
      <c r="CL12" s="181">
        <f t="shared" si="22"/>
        <v>7.6005449018968942</v>
      </c>
    </row>
    <row r="13" spans="1:90" x14ac:dyDescent="0.2">
      <c r="A13" s="160">
        <f t="shared" si="23"/>
        <v>41492</v>
      </c>
      <c r="B13" s="161">
        <v>6154300</v>
      </c>
      <c r="C13" s="161">
        <v>0</v>
      </c>
      <c r="D13" s="161">
        <v>0</v>
      </c>
      <c r="E13" s="161">
        <v>13492000</v>
      </c>
      <c r="F13" s="161">
        <v>3199600</v>
      </c>
      <c r="G13" s="161">
        <v>12889000</v>
      </c>
      <c r="H13" s="161">
        <v>9032000</v>
      </c>
      <c r="I13" s="161">
        <v>5013000</v>
      </c>
      <c r="J13" s="161">
        <v>6775000</v>
      </c>
      <c r="K13" s="161">
        <v>7283000</v>
      </c>
      <c r="L13" s="161">
        <v>1256000</v>
      </c>
      <c r="M13" s="161">
        <v>9286600</v>
      </c>
      <c r="N13" s="161">
        <v>0</v>
      </c>
      <c r="O13" s="162">
        <f t="shared" si="28"/>
        <v>74380500</v>
      </c>
      <c r="P13" s="163">
        <v>0</v>
      </c>
      <c r="Q13" s="161">
        <v>1430000</v>
      </c>
      <c r="R13" s="161">
        <v>267800</v>
      </c>
      <c r="S13" s="162">
        <f t="shared" si="0"/>
        <v>1697800</v>
      </c>
      <c r="T13" s="164">
        <f t="shared" si="24"/>
        <v>76078300</v>
      </c>
      <c r="U13" s="165">
        <f t="shared" si="1"/>
        <v>233.46068394952619</v>
      </c>
      <c r="V13" s="161">
        <v>48878250</v>
      </c>
      <c r="W13" s="161">
        <v>2937000</v>
      </c>
      <c r="X13" s="161">
        <v>30570000</v>
      </c>
      <c r="Y13" s="161">
        <v>0</v>
      </c>
      <c r="Z13" s="161">
        <v>0</v>
      </c>
      <c r="AA13" s="166">
        <f t="shared" si="2"/>
        <v>82385250</v>
      </c>
      <c r="AB13" s="165">
        <f t="shared" si="3"/>
        <v>252.81475548681692</v>
      </c>
      <c r="AC13" s="161">
        <f t="shared" si="4"/>
        <v>158463550</v>
      </c>
      <c r="AD13" s="167">
        <f t="shared" si="5"/>
        <v>486.27543943634311</v>
      </c>
      <c r="AE13" s="168"/>
      <c r="AF13" s="110">
        <f t="shared" si="6"/>
        <v>41492</v>
      </c>
      <c r="AG13" s="169">
        <f t="shared" si="7"/>
        <v>18.885636077969263</v>
      </c>
      <c r="AH13" s="170">
        <f t="shared" si="7"/>
        <v>0</v>
      </c>
      <c r="AI13" s="170">
        <f t="shared" si="7"/>
        <v>0</v>
      </c>
      <c r="AJ13" s="170">
        <f t="shared" si="7"/>
        <v>41.402759365640499</v>
      </c>
      <c r="AK13" s="170">
        <f t="shared" si="7"/>
        <v>9.8185790739922432</v>
      </c>
      <c r="AL13" s="170">
        <f t="shared" si="7"/>
        <v>39.55233956891049</v>
      </c>
      <c r="AM13" s="170">
        <f t="shared" si="7"/>
        <v>27.71640398684146</v>
      </c>
      <c r="AN13" s="170">
        <f t="shared" si="7"/>
        <v>15.383340698188245</v>
      </c>
      <c r="AO13" s="170">
        <f t="shared" si="7"/>
        <v>20.790371679677911</v>
      </c>
      <c r="AP13" s="170">
        <f t="shared" si="7"/>
        <v>22.349265969460401</v>
      </c>
      <c r="AQ13" s="170">
        <f t="shared" si="7"/>
        <v>3.8542740708008054</v>
      </c>
      <c r="AR13" s="170">
        <f t="shared" si="7"/>
        <v>28.497692345460795</v>
      </c>
      <c r="AS13" s="170">
        <f t="shared" si="8"/>
        <v>0</v>
      </c>
      <c r="AT13" s="171">
        <f t="shared" si="9"/>
        <v>0</v>
      </c>
      <c r="AU13" s="170">
        <f t="shared" si="10"/>
        <v>4.3882260519467771</v>
      </c>
      <c r="AV13" s="170">
        <f t="shared" si="10"/>
        <v>0.82179506063730545</v>
      </c>
      <c r="AW13" s="171">
        <f t="shared" si="11"/>
        <v>5.2100211125840827</v>
      </c>
      <c r="AX13" s="172">
        <f t="shared" si="12"/>
        <v>233.46068394952621</v>
      </c>
      <c r="AY13" s="170">
        <f t="shared" si="13"/>
        <v>149.99217484165561</v>
      </c>
      <c r="AZ13" s="170">
        <f t="shared" si="13"/>
        <v>9.0127411989983806</v>
      </c>
      <c r="BA13" s="170">
        <f t="shared" si="13"/>
        <v>93.809839446162911</v>
      </c>
      <c r="BB13" s="170">
        <f t="shared" si="13"/>
        <v>0</v>
      </c>
      <c r="BC13" s="170">
        <f t="shared" si="13"/>
        <v>0</v>
      </c>
      <c r="BD13" s="172">
        <f t="shared" si="14"/>
        <v>252.81475548681692</v>
      </c>
      <c r="BE13" s="173">
        <f t="shared" si="15"/>
        <v>486.27543943634316</v>
      </c>
      <c r="BF13" s="136"/>
      <c r="BG13" s="136"/>
      <c r="BH13" s="132">
        <f t="shared" si="25"/>
        <v>40761</v>
      </c>
      <c r="BI13" s="276">
        <f t="shared" si="32"/>
        <v>0.19852580645161291</v>
      </c>
      <c r="BJ13" s="276">
        <f t="shared" si="32"/>
        <v>0</v>
      </c>
      <c r="BK13" s="276">
        <f t="shared" si="32"/>
        <v>0</v>
      </c>
      <c r="BL13" s="276">
        <f t="shared" si="32"/>
        <v>0.43522580645161291</v>
      </c>
      <c r="BM13" s="276">
        <f t="shared" si="32"/>
        <v>0.10321290322580645</v>
      </c>
      <c r="BN13" s="276">
        <f t="shared" si="32"/>
        <v>0.41577419354838707</v>
      </c>
      <c r="BO13" s="276">
        <f t="shared" si="32"/>
        <v>0.29135483870967743</v>
      </c>
      <c r="BP13" s="276">
        <f t="shared" si="32"/>
        <v>0.16170967741935485</v>
      </c>
      <c r="BQ13" s="276">
        <f t="shared" si="32"/>
        <v>0.21854838709677418</v>
      </c>
      <c r="BR13" s="276">
        <f t="shared" si="32"/>
        <v>0.23493548387096774</v>
      </c>
      <c r="BS13" s="276">
        <f t="shared" si="32"/>
        <v>4.0516129032258062E-2</v>
      </c>
      <c r="BT13" s="276">
        <f t="shared" si="32"/>
        <v>0.29956774193548386</v>
      </c>
      <c r="BU13" s="278">
        <f t="shared" si="32"/>
        <v>0</v>
      </c>
      <c r="BV13" s="276">
        <f t="shared" si="33"/>
        <v>0</v>
      </c>
      <c r="BW13" s="276">
        <f t="shared" si="33"/>
        <v>4.6129032258064515E-2</v>
      </c>
      <c r="BX13" s="276">
        <f t="shared" si="33"/>
        <v>8.6387096774193546E-3</v>
      </c>
      <c r="BY13" s="277">
        <f t="shared" si="34"/>
        <v>5.4767741935483866E-2</v>
      </c>
      <c r="BZ13" s="277">
        <f t="shared" si="27"/>
        <v>2.454138709677419</v>
      </c>
      <c r="CA13" s="276">
        <f t="shared" si="35"/>
        <v>1.5767177419354839</v>
      </c>
      <c r="CB13" s="276">
        <f t="shared" si="35"/>
        <v>9.474193548387097E-2</v>
      </c>
      <c r="CC13" s="276">
        <f t="shared" si="35"/>
        <v>0.98612903225806448</v>
      </c>
      <c r="CD13" s="276">
        <f t="shared" si="35"/>
        <v>0</v>
      </c>
      <c r="CE13" s="276">
        <f t="shared" si="35"/>
        <v>0</v>
      </c>
      <c r="CF13" s="277">
        <f t="shared" si="17"/>
        <v>2.6575887096774196</v>
      </c>
      <c r="CG13" s="276">
        <f t="shared" si="18"/>
        <v>5.111727419354839</v>
      </c>
      <c r="CH13" s="278">
        <f t="shared" si="19"/>
        <v>15.686304497946553</v>
      </c>
      <c r="CI13" s="279">
        <f t="shared" si="20"/>
        <v>3.7973774350078902</v>
      </c>
      <c r="CJ13" s="276">
        <f t="shared" si="21"/>
        <v>4.1121829658060687</v>
      </c>
      <c r="CK13" s="278">
        <f t="shared" si="21"/>
        <v>7.9095604008139597</v>
      </c>
      <c r="CL13" s="181">
        <f t="shared" si="22"/>
        <v>7.9095604008139588</v>
      </c>
    </row>
    <row r="14" spans="1:90" x14ac:dyDescent="0.2">
      <c r="A14" s="160">
        <f t="shared" si="23"/>
        <v>41523</v>
      </c>
      <c r="B14" s="161">
        <v>4391300</v>
      </c>
      <c r="C14" s="161">
        <v>0</v>
      </c>
      <c r="D14" s="161">
        <v>0</v>
      </c>
      <c r="E14" s="161">
        <v>12801000</v>
      </c>
      <c r="F14" s="161">
        <v>2746800</v>
      </c>
      <c r="G14" s="161">
        <v>12154000</v>
      </c>
      <c r="H14" s="161">
        <v>8224000</v>
      </c>
      <c r="I14" s="161">
        <v>4814000</v>
      </c>
      <c r="J14" s="161">
        <v>8750000</v>
      </c>
      <c r="K14" s="161">
        <v>6329000</v>
      </c>
      <c r="L14" s="161">
        <v>2163000</v>
      </c>
      <c r="M14" s="161">
        <v>6613230</v>
      </c>
      <c r="N14" s="161">
        <v>0</v>
      </c>
      <c r="O14" s="162">
        <f t="shared" si="28"/>
        <v>68986330</v>
      </c>
      <c r="P14" s="163">
        <v>0</v>
      </c>
      <c r="Q14" s="161">
        <v>1370000</v>
      </c>
      <c r="R14" s="161">
        <v>267800</v>
      </c>
      <c r="S14" s="162">
        <f t="shared" si="0"/>
        <v>1637800</v>
      </c>
      <c r="T14" s="164">
        <f t="shared" si="24"/>
        <v>70624130</v>
      </c>
      <c r="U14" s="165">
        <f t="shared" si="1"/>
        <v>216.72352948396917</v>
      </c>
      <c r="V14" s="161">
        <v>43124250</v>
      </c>
      <c r="W14" s="161">
        <v>4951500</v>
      </c>
      <c r="X14" s="161">
        <v>30645000</v>
      </c>
      <c r="Y14" s="161">
        <v>0</v>
      </c>
      <c r="Z14" s="161">
        <v>0</v>
      </c>
      <c r="AA14" s="166">
        <f t="shared" si="2"/>
        <v>78720750</v>
      </c>
      <c r="AB14" s="165">
        <f t="shared" si="3"/>
        <v>241.56954264250993</v>
      </c>
      <c r="AC14" s="161">
        <f t="shared" si="4"/>
        <v>149344880</v>
      </c>
      <c r="AD14" s="167">
        <f t="shared" si="5"/>
        <v>458.2930721264791</v>
      </c>
      <c r="AE14" s="168"/>
      <c r="AF14" s="282">
        <f t="shared" si="6"/>
        <v>41523</v>
      </c>
      <c r="AG14" s="283">
        <f t="shared" si="7"/>
        <v>13.475536406932783</v>
      </c>
      <c r="AH14" s="284">
        <f t="shared" si="7"/>
        <v>0</v>
      </c>
      <c r="AI14" s="284">
        <f t="shared" si="7"/>
        <v>0</v>
      </c>
      <c r="AJ14" s="284">
        <f t="shared" si="7"/>
        <v>39.282294888790688</v>
      </c>
      <c r="AK14" s="284">
        <f t="shared" si="7"/>
        <v>8.4290764471939905</v>
      </c>
      <c r="AL14" s="284">
        <f t="shared" si="7"/>
        <v>37.296852752000788</v>
      </c>
      <c r="AM14" s="284">
        <f t="shared" si="7"/>
        <v>25.236902833014188</v>
      </c>
      <c r="AN14" s="284">
        <f t="shared" si="7"/>
        <v>14.772671478371876</v>
      </c>
      <c r="AO14" s="284">
        <f t="shared" si="7"/>
        <v>26.851033534639367</v>
      </c>
      <c r="AP14" s="284">
        <f t="shared" si="7"/>
        <v>19.421736141798007</v>
      </c>
      <c r="AQ14" s="284">
        <f t="shared" si="7"/>
        <v>6.6375754897628516</v>
      </c>
      <c r="AR14" s="284">
        <f t="shared" si="7"/>
        <v>20.293949771689498</v>
      </c>
      <c r="AS14" s="284">
        <f t="shared" si="8"/>
        <v>0</v>
      </c>
      <c r="AT14" s="285">
        <f t="shared" si="9"/>
        <v>0</v>
      </c>
      <c r="AU14" s="284">
        <f t="shared" si="10"/>
        <v>4.2041046791378207</v>
      </c>
      <c r="AV14" s="284">
        <f t="shared" si="10"/>
        <v>0.82179506063730545</v>
      </c>
      <c r="AW14" s="285">
        <f t="shared" si="11"/>
        <v>5.0258997397751264</v>
      </c>
      <c r="AX14" s="280">
        <f t="shared" si="12"/>
        <v>216.72352948396912</v>
      </c>
      <c r="AY14" s="170">
        <f t="shared" si="13"/>
        <v>132.33493518927676</v>
      </c>
      <c r="AZ14" s="170">
        <f t="shared" si="13"/>
        <v>15.194616291059067</v>
      </c>
      <c r="BA14" s="170">
        <f t="shared" si="13"/>
        <v>94.039991162174104</v>
      </c>
      <c r="BB14" s="170">
        <f t="shared" si="13"/>
        <v>0</v>
      </c>
      <c r="BC14" s="170">
        <f t="shared" si="13"/>
        <v>0</v>
      </c>
      <c r="BD14" s="172">
        <f t="shared" si="14"/>
        <v>241.56954264250993</v>
      </c>
      <c r="BE14" s="173">
        <f t="shared" si="15"/>
        <v>458.29307212647905</v>
      </c>
      <c r="BF14" s="136"/>
      <c r="BG14" s="136"/>
      <c r="BH14" s="132">
        <f t="shared" si="25"/>
        <v>40792</v>
      </c>
      <c r="BI14" s="276">
        <f t="shared" ref="BI14:BT14" si="36">+B14/(30*1000000)</f>
        <v>0.14637666666666665</v>
      </c>
      <c r="BJ14" s="276">
        <f t="shared" si="36"/>
        <v>0</v>
      </c>
      <c r="BK14" s="276">
        <f t="shared" si="36"/>
        <v>0</v>
      </c>
      <c r="BL14" s="276">
        <f t="shared" si="36"/>
        <v>0.42670000000000002</v>
      </c>
      <c r="BM14" s="276">
        <f t="shared" si="36"/>
        <v>9.1560000000000002E-2</v>
      </c>
      <c r="BN14" s="276">
        <f t="shared" si="36"/>
        <v>0.40513333333333335</v>
      </c>
      <c r="BO14" s="276">
        <f t="shared" si="36"/>
        <v>0.27413333333333334</v>
      </c>
      <c r="BP14" s="276">
        <f t="shared" si="36"/>
        <v>0.16046666666666667</v>
      </c>
      <c r="BQ14" s="276">
        <f t="shared" si="36"/>
        <v>0.29166666666666669</v>
      </c>
      <c r="BR14" s="276">
        <f t="shared" si="36"/>
        <v>0.21096666666666666</v>
      </c>
      <c r="BS14" s="276">
        <f t="shared" si="36"/>
        <v>7.2099999999999997E-2</v>
      </c>
      <c r="BT14" s="276">
        <f t="shared" si="36"/>
        <v>0.220441</v>
      </c>
      <c r="BU14" s="278">
        <f>+N14/(31*1000000)</f>
        <v>0</v>
      </c>
      <c r="BV14" s="276">
        <f>+P14/(30*1000000)</f>
        <v>0</v>
      </c>
      <c r="BW14" s="276">
        <f>+Q14/(30*1000000)</f>
        <v>4.5666666666666668E-2</v>
      </c>
      <c r="BX14" s="276">
        <f>+R14/(30*1000000)</f>
        <v>8.9266666666666661E-3</v>
      </c>
      <c r="BY14" s="277">
        <f t="shared" si="34"/>
        <v>5.4593333333333334E-2</v>
      </c>
      <c r="BZ14" s="277">
        <f t="shared" si="27"/>
        <v>2.3541376666666669</v>
      </c>
      <c r="CA14" s="276">
        <f>+V14/(30*1000000)</f>
        <v>1.4374750000000001</v>
      </c>
      <c r="CB14" s="276">
        <f>+W14/(30*1000000)</f>
        <v>0.16505</v>
      </c>
      <c r="CC14" s="276">
        <f>+X14/(30*1000000)</f>
        <v>1.0215000000000001</v>
      </c>
      <c r="CD14" s="276">
        <f>+Y14/(30*1000000)</f>
        <v>0</v>
      </c>
      <c r="CE14" s="276">
        <f>+Z14/(30*1000000)</f>
        <v>0</v>
      </c>
      <c r="CF14" s="277">
        <f t="shared" si="17"/>
        <v>2.6240250000000001</v>
      </c>
      <c r="CG14" s="276">
        <f t="shared" si="18"/>
        <v>4.978162666666667</v>
      </c>
      <c r="CH14" s="278">
        <f t="shared" si="19"/>
        <v>15.276435737549305</v>
      </c>
      <c r="CI14" s="279">
        <f t="shared" si="20"/>
        <v>3.6426422105037304</v>
      </c>
      <c r="CJ14" s="276">
        <f t="shared" si="21"/>
        <v>4.0602486259655377</v>
      </c>
      <c r="CK14" s="278">
        <f t="shared" si="21"/>
        <v>7.7028908364692681</v>
      </c>
      <c r="CL14" s="181">
        <f t="shared" si="22"/>
        <v>7.7028908364692681</v>
      </c>
    </row>
    <row r="15" spans="1:90" s="85" customFormat="1" x14ac:dyDescent="0.2">
      <c r="A15" s="191">
        <f t="shared" si="23"/>
        <v>41554</v>
      </c>
      <c r="B15" s="186">
        <v>3896000</v>
      </c>
      <c r="C15" s="186">
        <v>0</v>
      </c>
      <c r="D15" s="186">
        <v>0</v>
      </c>
      <c r="E15" s="186">
        <v>12777000</v>
      </c>
      <c r="F15" s="186">
        <v>3485500</v>
      </c>
      <c r="G15" s="186">
        <v>11509000</v>
      </c>
      <c r="H15" s="186">
        <v>7793000</v>
      </c>
      <c r="I15" s="186">
        <v>4766000</v>
      </c>
      <c r="J15" s="186">
        <v>9466000</v>
      </c>
      <c r="K15" s="186">
        <v>5507000</v>
      </c>
      <c r="L15" s="304">
        <v>0</v>
      </c>
      <c r="M15" s="186">
        <v>6612024</v>
      </c>
      <c r="N15" s="186">
        <v>0</v>
      </c>
      <c r="O15" s="187">
        <f t="shared" si="28"/>
        <v>65811524</v>
      </c>
      <c r="P15" s="188">
        <v>0</v>
      </c>
      <c r="Q15" s="186">
        <v>1379000</v>
      </c>
      <c r="R15" s="186">
        <v>267800</v>
      </c>
      <c r="S15" s="187">
        <f t="shared" si="0"/>
        <v>1646800</v>
      </c>
      <c r="T15" s="189">
        <f t="shared" si="24"/>
        <v>67458324</v>
      </c>
      <c r="U15" s="190">
        <f t="shared" si="1"/>
        <v>207.00865370452203</v>
      </c>
      <c r="V15" s="186">
        <v>11100000</v>
      </c>
      <c r="W15" s="186">
        <v>20955000</v>
      </c>
      <c r="X15" s="186">
        <v>38293500</v>
      </c>
      <c r="Y15" s="186">
        <v>0</v>
      </c>
      <c r="Z15" s="186">
        <v>0</v>
      </c>
      <c r="AA15" s="192">
        <f t="shared" si="2"/>
        <v>70348500</v>
      </c>
      <c r="AB15" s="190">
        <f t="shared" si="3"/>
        <v>215.87770658418029</v>
      </c>
      <c r="AC15" s="186">
        <f t="shared" si="4"/>
        <v>137806824</v>
      </c>
      <c r="AD15" s="193">
        <f t="shared" si="5"/>
        <v>422.88636028870229</v>
      </c>
      <c r="AE15" s="194"/>
      <c r="AF15" s="110">
        <f t="shared" si="6"/>
        <v>41554</v>
      </c>
      <c r="AG15" s="169">
        <f t="shared" si="7"/>
        <v>11.955614474394855</v>
      </c>
      <c r="AH15" s="170">
        <f t="shared" si="7"/>
        <v>0</v>
      </c>
      <c r="AI15" s="170">
        <f t="shared" si="7"/>
        <v>0</v>
      </c>
      <c r="AJ15" s="170">
        <f t="shared" si="7"/>
        <v>39.208646339667112</v>
      </c>
      <c r="AK15" s="170">
        <f t="shared" si="7"/>
        <v>10.695917415426916</v>
      </c>
      <c r="AL15" s="170">
        <f t="shared" si="7"/>
        <v>35.317547994304512</v>
      </c>
      <c r="AM15" s="170">
        <f t="shared" si="7"/>
        <v>23.914297638336524</v>
      </c>
      <c r="AN15" s="170">
        <f t="shared" si="7"/>
        <v>14.625374380124711</v>
      </c>
      <c r="AO15" s="170">
        <f t="shared" si="7"/>
        <v>29.048215250159572</v>
      </c>
      <c r="AP15" s="170">
        <f t="shared" si="7"/>
        <v>16.899273334315314</v>
      </c>
      <c r="AQ15" s="170">
        <f t="shared" si="7"/>
        <v>0</v>
      </c>
      <c r="AR15" s="170">
        <f t="shared" si="7"/>
        <v>20.290248932096038</v>
      </c>
      <c r="AS15" s="170">
        <f t="shared" si="8"/>
        <v>0</v>
      </c>
      <c r="AT15" s="171">
        <f t="shared" si="9"/>
        <v>0</v>
      </c>
      <c r="AU15" s="170">
        <f t="shared" si="10"/>
        <v>4.2317228850591642</v>
      </c>
      <c r="AV15" s="170">
        <f t="shared" si="10"/>
        <v>0.82179506063730545</v>
      </c>
      <c r="AW15" s="171">
        <f t="shared" si="11"/>
        <v>5.0535179456964698</v>
      </c>
      <c r="AX15" s="172">
        <f t="shared" si="12"/>
        <v>207.00865370452203</v>
      </c>
      <c r="AY15" s="170">
        <f t="shared" si="13"/>
        <v>34.062453969656801</v>
      </c>
      <c r="AZ15" s="170">
        <f t="shared" si="13"/>
        <v>64.304389453527762</v>
      </c>
      <c r="BA15" s="170">
        <f t="shared" si="13"/>
        <v>117.51086316099573</v>
      </c>
      <c r="BB15" s="170">
        <f t="shared" si="13"/>
        <v>0</v>
      </c>
      <c r="BC15" s="170">
        <f t="shared" si="13"/>
        <v>0</v>
      </c>
      <c r="BD15" s="172">
        <f t="shared" si="14"/>
        <v>215.87770658418029</v>
      </c>
      <c r="BE15" s="173">
        <f t="shared" si="15"/>
        <v>422.88636028870235</v>
      </c>
      <c r="BF15" s="170"/>
      <c r="BG15" s="170"/>
      <c r="BH15" s="110">
        <f t="shared" si="25"/>
        <v>40823</v>
      </c>
      <c r="BI15" s="286">
        <f t="shared" ref="BI15:BT15" si="37">+B15/(31*1000000)</f>
        <v>0.1256774193548387</v>
      </c>
      <c r="BJ15" s="286">
        <f t="shared" si="37"/>
        <v>0</v>
      </c>
      <c r="BK15" s="286">
        <f t="shared" si="37"/>
        <v>0</v>
      </c>
      <c r="BL15" s="286">
        <f t="shared" si="37"/>
        <v>0.41216129032258064</v>
      </c>
      <c r="BM15" s="286">
        <f t="shared" si="37"/>
        <v>0.11243548387096775</v>
      </c>
      <c r="BN15" s="286">
        <f t="shared" si="37"/>
        <v>0.37125806451612903</v>
      </c>
      <c r="BO15" s="286">
        <f t="shared" si="37"/>
        <v>0.25138709677419357</v>
      </c>
      <c r="BP15" s="286">
        <f t="shared" si="37"/>
        <v>0.15374193548387097</v>
      </c>
      <c r="BQ15" s="286">
        <f t="shared" si="37"/>
        <v>0.30535483870967745</v>
      </c>
      <c r="BR15" s="286">
        <f t="shared" si="37"/>
        <v>0.17764516129032257</v>
      </c>
      <c r="BS15" s="286">
        <f t="shared" si="37"/>
        <v>0</v>
      </c>
      <c r="BT15" s="286">
        <f t="shared" si="37"/>
        <v>0.21329109677419356</v>
      </c>
      <c r="BU15" s="287">
        <f>+N15/(31*1000000)</f>
        <v>0</v>
      </c>
      <c r="BV15" s="286">
        <f>+P15/(31*1000000)</f>
        <v>0</v>
      </c>
      <c r="BW15" s="286">
        <f>+Q15/(31*1000000)</f>
        <v>4.4483870967741937E-2</v>
      </c>
      <c r="BX15" s="286">
        <f>+R15/(31*1000000)</f>
        <v>8.6387096774193546E-3</v>
      </c>
      <c r="BY15" s="288">
        <f t="shared" si="34"/>
        <v>5.3122580645161288E-2</v>
      </c>
      <c r="BZ15" s="277">
        <f t="shared" si="27"/>
        <v>2.1760749677419353</v>
      </c>
      <c r="CA15" s="286">
        <f>+V15/(31*1000000)</f>
        <v>0.35806451612903228</v>
      </c>
      <c r="CB15" s="286">
        <f>+W15/(31*1000000)</f>
        <v>0.67596774193548392</v>
      </c>
      <c r="CC15" s="286">
        <f>+X15/(31*1000000)</f>
        <v>1.2352741935483871</v>
      </c>
      <c r="CD15" s="286">
        <f>+Y15/(31*1000000)</f>
        <v>0</v>
      </c>
      <c r="CE15" s="286">
        <f>+Z15/(31*1000000)</f>
        <v>0</v>
      </c>
      <c r="CF15" s="288">
        <f t="shared" si="17"/>
        <v>2.2693064516129033</v>
      </c>
      <c r="CG15" s="286">
        <f t="shared" si="18"/>
        <v>4.4453814193548382</v>
      </c>
      <c r="CH15" s="287">
        <f t="shared" si="19"/>
        <v>13.641495493183944</v>
      </c>
      <c r="CI15" s="289">
        <f t="shared" si="20"/>
        <v>3.3671193672972612</v>
      </c>
      <c r="CJ15" s="286">
        <f t="shared" si="21"/>
        <v>3.511379808521649</v>
      </c>
      <c r="CK15" s="287">
        <f t="shared" si="21"/>
        <v>6.8784991758189094</v>
      </c>
      <c r="CL15" s="199">
        <f t="shared" si="22"/>
        <v>6.8784991758189102</v>
      </c>
    </row>
    <row r="16" spans="1:90" x14ac:dyDescent="0.2">
      <c r="A16" s="160">
        <f t="shared" si="23"/>
        <v>41585</v>
      </c>
      <c r="B16" s="304">
        <v>1100</v>
      </c>
      <c r="C16" s="161">
        <v>0</v>
      </c>
      <c r="D16" s="161">
        <v>0</v>
      </c>
      <c r="E16" s="161">
        <v>12435000</v>
      </c>
      <c r="F16" s="161">
        <v>3116500</v>
      </c>
      <c r="G16" s="161">
        <v>8223000</v>
      </c>
      <c r="H16" s="161">
        <v>7457000</v>
      </c>
      <c r="I16" s="161">
        <v>4123000</v>
      </c>
      <c r="J16" s="161">
        <v>9092000</v>
      </c>
      <c r="K16" s="161">
        <v>5296000</v>
      </c>
      <c r="L16" s="304">
        <v>0</v>
      </c>
      <c r="M16" s="161">
        <v>6442164</v>
      </c>
      <c r="N16" s="161">
        <v>0</v>
      </c>
      <c r="O16" s="162">
        <f t="shared" si="28"/>
        <v>56185764</v>
      </c>
      <c r="P16" s="163">
        <v>0</v>
      </c>
      <c r="Q16" s="161">
        <v>1303000</v>
      </c>
      <c r="R16" s="161">
        <v>267800</v>
      </c>
      <c r="S16" s="162">
        <f t="shared" si="0"/>
        <v>1570800</v>
      </c>
      <c r="T16" s="164">
        <f t="shared" si="24"/>
        <v>57756564</v>
      </c>
      <c r="U16" s="165">
        <f>+T16/325872</f>
        <v>177.23696420680511</v>
      </c>
      <c r="V16" s="161">
        <v>1115250</v>
      </c>
      <c r="W16" s="161">
        <v>22277250</v>
      </c>
      <c r="X16" s="161">
        <v>38683500</v>
      </c>
      <c r="Y16" s="161">
        <v>0</v>
      </c>
      <c r="Z16" s="161">
        <v>9724</v>
      </c>
      <c r="AA16" s="166">
        <f t="shared" si="2"/>
        <v>62085724</v>
      </c>
      <c r="AB16" s="165">
        <f t="shared" si="3"/>
        <v>190.52181224529878</v>
      </c>
      <c r="AC16" s="161">
        <f t="shared" si="4"/>
        <v>119842288</v>
      </c>
      <c r="AD16" s="167">
        <f t="shared" si="5"/>
        <v>367.75877645210392</v>
      </c>
      <c r="AE16" s="168"/>
      <c r="AF16" s="110">
        <f t="shared" si="6"/>
        <v>41585</v>
      </c>
      <c r="AG16" s="169">
        <f t="shared" si="7"/>
        <v>3.3755585014975205E-3</v>
      </c>
      <c r="AH16" s="170">
        <f t="shared" si="7"/>
        <v>0</v>
      </c>
      <c r="AI16" s="170">
        <f t="shared" si="7"/>
        <v>0</v>
      </c>
      <c r="AJ16" s="170">
        <f t="shared" si="7"/>
        <v>38.159154514656059</v>
      </c>
      <c r="AK16" s="170">
        <f t="shared" si="7"/>
        <v>9.5635709726518385</v>
      </c>
      <c r="AL16" s="170">
        <f t="shared" si="7"/>
        <v>25.233834143467373</v>
      </c>
      <c r="AM16" s="170">
        <f t="shared" si="7"/>
        <v>22.883217950606372</v>
      </c>
      <c r="AN16" s="170">
        <f t="shared" si="7"/>
        <v>12.65220700152207</v>
      </c>
      <c r="AO16" s="170">
        <f t="shared" si="7"/>
        <v>27.900525359650416</v>
      </c>
      <c r="AP16" s="170">
        <f t="shared" si="7"/>
        <v>16.251779839937154</v>
      </c>
      <c r="AQ16" s="170">
        <f t="shared" si="7"/>
        <v>0</v>
      </c>
      <c r="AR16" s="170">
        <f t="shared" si="7"/>
        <v>19.769001325673884</v>
      </c>
      <c r="AS16" s="170">
        <f t="shared" si="8"/>
        <v>0</v>
      </c>
      <c r="AT16" s="171">
        <f t="shared" si="9"/>
        <v>0</v>
      </c>
      <c r="AU16" s="170">
        <f t="shared" si="10"/>
        <v>3.9985024795011537</v>
      </c>
      <c r="AV16" s="170">
        <f t="shared" si="10"/>
        <v>0.82179506063730545</v>
      </c>
      <c r="AW16" s="171">
        <f t="shared" si="11"/>
        <v>4.8202975401384593</v>
      </c>
      <c r="AX16" s="172">
        <f t="shared" si="12"/>
        <v>177.23696420680508</v>
      </c>
      <c r="AY16" s="170">
        <f t="shared" si="13"/>
        <v>3.4223560170864635</v>
      </c>
      <c r="AZ16" s="170">
        <f t="shared" si="13"/>
        <v>68.361964206805126</v>
      </c>
      <c r="BA16" s="170">
        <f t="shared" si="13"/>
        <v>118.70765208425394</v>
      </c>
      <c r="BB16" s="170">
        <f t="shared" si="13"/>
        <v>0</v>
      </c>
      <c r="BC16" s="170">
        <f t="shared" si="13"/>
        <v>2.9839937153238082E-2</v>
      </c>
      <c r="BD16" s="172">
        <f t="shared" si="14"/>
        <v>190.52181224529878</v>
      </c>
      <c r="BE16" s="173">
        <f t="shared" si="15"/>
        <v>367.75877645210386</v>
      </c>
      <c r="BF16" s="136"/>
      <c r="BG16" s="136"/>
      <c r="BH16" s="132">
        <f t="shared" si="25"/>
        <v>40854</v>
      </c>
      <c r="BI16" s="276">
        <f t="shared" ref="BI16:BT16" si="38">+B16/(30*1000000)</f>
        <v>3.6666666666666666E-5</v>
      </c>
      <c r="BJ16" s="276">
        <f t="shared" si="38"/>
        <v>0</v>
      </c>
      <c r="BK16" s="276">
        <f t="shared" si="38"/>
        <v>0</v>
      </c>
      <c r="BL16" s="276">
        <f t="shared" si="38"/>
        <v>0.41449999999999998</v>
      </c>
      <c r="BM16" s="276">
        <f t="shared" si="38"/>
        <v>0.10388333333333333</v>
      </c>
      <c r="BN16" s="276">
        <f t="shared" si="38"/>
        <v>0.27410000000000001</v>
      </c>
      <c r="BO16" s="276">
        <f t="shared" si="38"/>
        <v>0.24856666666666666</v>
      </c>
      <c r="BP16" s="276">
        <f t="shared" si="38"/>
        <v>0.13743333333333332</v>
      </c>
      <c r="BQ16" s="276">
        <f t="shared" si="38"/>
        <v>0.30306666666666665</v>
      </c>
      <c r="BR16" s="276">
        <f t="shared" si="38"/>
        <v>0.17653333333333332</v>
      </c>
      <c r="BS16" s="276">
        <f t="shared" si="38"/>
        <v>0</v>
      </c>
      <c r="BT16" s="276">
        <f t="shared" si="38"/>
        <v>0.21473880000000001</v>
      </c>
      <c r="BU16" s="278">
        <f>+N16/(31*1000000)</f>
        <v>0</v>
      </c>
      <c r="BV16" s="276">
        <f>+P16/(30*1000000)</f>
        <v>0</v>
      </c>
      <c r="BW16" s="276">
        <f>+Q16/(30*1000000)</f>
        <v>4.3433333333333331E-2</v>
      </c>
      <c r="BX16" s="276">
        <f>+R16/(30*1000000)</f>
        <v>8.9266666666666661E-3</v>
      </c>
      <c r="BY16" s="277">
        <f t="shared" si="34"/>
        <v>5.2359999999999997E-2</v>
      </c>
      <c r="BZ16" s="277">
        <f t="shared" si="27"/>
        <v>1.9252187999999999</v>
      </c>
      <c r="CA16" s="276">
        <f>+V16/(30*1000000)</f>
        <v>3.7175E-2</v>
      </c>
      <c r="CB16" s="276">
        <f>+W16/(30*1000000)</f>
        <v>0.74257499999999999</v>
      </c>
      <c r="CC16" s="276">
        <f>+X16/(30*1000000)</f>
        <v>1.28945</v>
      </c>
      <c r="CD16" s="276">
        <f>+Y16/(30*1000000)</f>
        <v>0</v>
      </c>
      <c r="CE16" s="276">
        <f>+Z16/(30*1000000)</f>
        <v>3.2413333333333332E-4</v>
      </c>
      <c r="CF16" s="277">
        <f t="shared" si="17"/>
        <v>2.0695241333333332</v>
      </c>
      <c r="CG16" s="276">
        <f t="shared" si="18"/>
        <v>3.9947429333333329</v>
      </c>
      <c r="CH16" s="278">
        <f t="shared" si="19"/>
        <v>12.258625881736796</v>
      </c>
      <c r="CI16" s="279">
        <f t="shared" si="20"/>
        <v>2.9789605614973258</v>
      </c>
      <c r="CJ16" s="276">
        <f t="shared" si="21"/>
        <v>3.2022494140753941</v>
      </c>
      <c r="CK16" s="278">
        <f t="shared" si="21"/>
        <v>6.1812099755727195</v>
      </c>
      <c r="CL16" s="181">
        <f t="shared" si="22"/>
        <v>6.1812099755727203</v>
      </c>
    </row>
    <row r="17" spans="1:120" s="204" customFormat="1" ht="13.5" thickBot="1" x14ac:dyDescent="0.25">
      <c r="A17" s="160">
        <f t="shared" si="23"/>
        <v>41616</v>
      </c>
      <c r="B17" s="161">
        <v>5576000</v>
      </c>
      <c r="C17" s="161">
        <v>0</v>
      </c>
      <c r="D17" s="161">
        <v>0</v>
      </c>
      <c r="E17" s="161">
        <v>12600000</v>
      </c>
      <c r="F17" s="161">
        <v>3436100</v>
      </c>
      <c r="G17" s="161">
        <v>10374000</v>
      </c>
      <c r="H17" s="161">
        <v>7656000</v>
      </c>
      <c r="I17" s="161">
        <v>4031000</v>
      </c>
      <c r="J17" s="161">
        <v>8938000</v>
      </c>
      <c r="K17" s="161">
        <v>5423000</v>
      </c>
      <c r="L17" s="304">
        <v>7000</v>
      </c>
      <c r="M17" s="161">
        <v>6694200</v>
      </c>
      <c r="N17" s="161">
        <v>0</v>
      </c>
      <c r="O17" s="162">
        <f t="shared" si="28"/>
        <v>64735300</v>
      </c>
      <c r="P17" s="163">
        <v>0</v>
      </c>
      <c r="Q17" s="161">
        <v>1328000</v>
      </c>
      <c r="R17" s="161">
        <v>267800</v>
      </c>
      <c r="S17" s="162">
        <f t="shared" si="0"/>
        <v>1595800</v>
      </c>
      <c r="T17" s="164">
        <f t="shared" si="24"/>
        <v>66331100</v>
      </c>
      <c r="U17" s="165">
        <f t="shared" si="1"/>
        <v>203.54955319880199</v>
      </c>
      <c r="V17" s="161">
        <v>0</v>
      </c>
      <c r="W17" s="161">
        <v>22326750</v>
      </c>
      <c r="X17" s="161">
        <v>27380250</v>
      </c>
      <c r="Y17" s="161">
        <v>0</v>
      </c>
      <c r="Z17" s="161">
        <v>12716</v>
      </c>
      <c r="AA17" s="166">
        <f t="shared" si="2"/>
        <v>49719716</v>
      </c>
      <c r="AB17" s="165">
        <f t="shared" si="3"/>
        <v>152.57437275985663</v>
      </c>
      <c r="AC17" s="161">
        <f t="shared" si="4"/>
        <v>116050816</v>
      </c>
      <c r="AD17" s="167">
        <f t="shared" si="5"/>
        <v>356.12392595865862</v>
      </c>
      <c r="AE17" s="168"/>
      <c r="AF17" s="110">
        <f t="shared" si="6"/>
        <v>41616</v>
      </c>
      <c r="AG17" s="169">
        <f t="shared" si="7"/>
        <v>17.111012913045613</v>
      </c>
      <c r="AH17" s="170">
        <f t="shared" si="7"/>
        <v>0</v>
      </c>
      <c r="AI17" s="170">
        <f t="shared" si="7"/>
        <v>0</v>
      </c>
      <c r="AJ17" s="170">
        <f t="shared" si="7"/>
        <v>38.665488289880692</v>
      </c>
      <c r="AK17" s="170">
        <f t="shared" si="7"/>
        <v>10.544324151814209</v>
      </c>
      <c r="AL17" s="170">
        <f t="shared" si="7"/>
        <v>31.834585358668434</v>
      </c>
      <c r="AM17" s="170">
        <f t="shared" si="7"/>
        <v>23.493887170422742</v>
      </c>
      <c r="AN17" s="170">
        <f t="shared" si="7"/>
        <v>12.369887563215004</v>
      </c>
      <c r="AO17" s="170">
        <f t="shared" si="7"/>
        <v>27.427947169440763</v>
      </c>
      <c r="AP17" s="170">
        <f t="shared" si="7"/>
        <v>16.641503412382775</v>
      </c>
      <c r="AQ17" s="170">
        <f t="shared" si="7"/>
        <v>2.1480826827711495E-2</v>
      </c>
      <c r="AR17" s="170">
        <f t="shared" si="7"/>
        <v>20.542421564295182</v>
      </c>
      <c r="AS17" s="170">
        <f t="shared" si="8"/>
        <v>0</v>
      </c>
      <c r="AT17" s="171">
        <f t="shared" si="9"/>
        <v>0</v>
      </c>
      <c r="AU17" s="170">
        <f t="shared" si="10"/>
        <v>4.0752197181715522</v>
      </c>
      <c r="AV17" s="170">
        <f t="shared" si="10"/>
        <v>0.82179506063730545</v>
      </c>
      <c r="AW17" s="171">
        <f t="shared" si="11"/>
        <v>4.8970147788088578</v>
      </c>
      <c r="AX17" s="172">
        <f t="shared" si="12"/>
        <v>203.54955319880199</v>
      </c>
      <c r="AY17" s="170">
        <f t="shared" si="13"/>
        <v>0</v>
      </c>
      <c r="AZ17" s="170">
        <f t="shared" si="13"/>
        <v>68.513864339372518</v>
      </c>
      <c r="BA17" s="170">
        <f t="shared" si="13"/>
        <v>84.021486964206801</v>
      </c>
      <c r="BB17" s="170">
        <f t="shared" si="13"/>
        <v>0</v>
      </c>
      <c r="BC17" s="170">
        <f t="shared" si="13"/>
        <v>3.9021456277311337E-2</v>
      </c>
      <c r="BD17" s="172">
        <f t="shared" si="14"/>
        <v>152.57437275985663</v>
      </c>
      <c r="BE17" s="173">
        <f t="shared" si="15"/>
        <v>356.12392595865862</v>
      </c>
      <c r="BF17" s="136"/>
      <c r="BG17" s="136"/>
      <c r="BH17" s="290">
        <f t="shared" si="25"/>
        <v>40885</v>
      </c>
      <c r="BI17" s="291">
        <f t="shared" ref="BI17:BT17" si="39">+B17/(31*1000000)</f>
        <v>0.17987096774193548</v>
      </c>
      <c r="BJ17" s="291">
        <f t="shared" si="39"/>
        <v>0</v>
      </c>
      <c r="BK17" s="291">
        <f t="shared" si="39"/>
        <v>0</v>
      </c>
      <c r="BL17" s="291">
        <f t="shared" si="39"/>
        <v>0.40645161290322579</v>
      </c>
      <c r="BM17" s="291">
        <f t="shared" si="39"/>
        <v>0.11084193548387097</v>
      </c>
      <c r="BN17" s="291">
        <f t="shared" si="39"/>
        <v>0.33464516129032257</v>
      </c>
      <c r="BO17" s="291">
        <f t="shared" si="39"/>
        <v>0.24696774193548388</v>
      </c>
      <c r="BP17" s="291">
        <f t="shared" si="39"/>
        <v>0.13003225806451613</v>
      </c>
      <c r="BQ17" s="291">
        <f t="shared" si="39"/>
        <v>0.28832258064516131</v>
      </c>
      <c r="BR17" s="291">
        <f t="shared" si="39"/>
        <v>0.17493548387096775</v>
      </c>
      <c r="BS17" s="291">
        <f t="shared" si="39"/>
        <v>2.2580645161290321E-4</v>
      </c>
      <c r="BT17" s="291">
        <f t="shared" si="39"/>
        <v>0.21594193548387097</v>
      </c>
      <c r="BU17" s="292">
        <f>+N17/(31*1000000)</f>
        <v>0</v>
      </c>
      <c r="BV17" s="291">
        <f>+P17/(31*1000000)</f>
        <v>0</v>
      </c>
      <c r="BW17" s="291">
        <f>+Q17/(31*1000000)</f>
        <v>4.2838709677419352E-2</v>
      </c>
      <c r="BX17" s="291">
        <f>+R17/(31*1000000)</f>
        <v>8.6387096774193546E-3</v>
      </c>
      <c r="BY17" s="293">
        <f t="shared" si="34"/>
        <v>5.147741935483871E-2</v>
      </c>
      <c r="BZ17" s="277">
        <f t="shared" si="27"/>
        <v>2.1397129032258064</v>
      </c>
      <c r="CA17" s="294">
        <f>+V17/(31*1000000)</f>
        <v>0</v>
      </c>
      <c r="CB17" s="291">
        <f>+W17/(31*1000000)</f>
        <v>0.72021774193548382</v>
      </c>
      <c r="CC17" s="291">
        <f>+X17/(31*1000000)</f>
        <v>0.88323387096774197</v>
      </c>
      <c r="CD17" s="291">
        <f>+Y17/(31*1000000)</f>
        <v>0</v>
      </c>
      <c r="CE17" s="291">
        <f>+Z17/(31*1000000)</f>
        <v>4.1019354838709679E-4</v>
      </c>
      <c r="CF17" s="293">
        <f t="shared" si="17"/>
        <v>1.6038618064516128</v>
      </c>
      <c r="CG17" s="291">
        <f t="shared" si="18"/>
        <v>3.7435747096774192</v>
      </c>
      <c r="CH17" s="292">
        <f t="shared" si="19"/>
        <v>11.487868579311568</v>
      </c>
      <c r="CI17" s="295">
        <f t="shared" si="20"/>
        <v>3.3108550319769487</v>
      </c>
      <c r="CJ17" s="296">
        <f t="shared" si="21"/>
        <v>2.4817132824129975</v>
      </c>
      <c r="CK17" s="297">
        <f t="shared" si="21"/>
        <v>5.7925683143899462</v>
      </c>
      <c r="CL17" s="181">
        <f t="shared" si="22"/>
        <v>5.7925683143899462</v>
      </c>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row>
    <row r="18" spans="1:120" x14ac:dyDescent="0.2">
      <c r="A18" s="205" t="s">
        <v>79</v>
      </c>
      <c r="B18" s="161">
        <f t="shared" ref="B18:R18" si="40">SUM(B6:B17)</f>
        <v>49828500</v>
      </c>
      <c r="C18" s="161">
        <f t="shared" si="40"/>
        <v>0</v>
      </c>
      <c r="D18" s="161">
        <f t="shared" si="40"/>
        <v>0</v>
      </c>
      <c r="E18" s="161">
        <f t="shared" si="40"/>
        <v>166957000</v>
      </c>
      <c r="F18" s="161">
        <f t="shared" si="40"/>
        <v>19697100</v>
      </c>
      <c r="G18" s="161">
        <f t="shared" si="40"/>
        <v>129063000</v>
      </c>
      <c r="H18" s="161">
        <f t="shared" si="40"/>
        <v>103584000</v>
      </c>
      <c r="I18" s="161">
        <f t="shared" si="40"/>
        <v>59554000</v>
      </c>
      <c r="J18" s="161">
        <f t="shared" si="40"/>
        <v>93233000</v>
      </c>
      <c r="K18" s="161">
        <f t="shared" si="40"/>
        <v>86936000</v>
      </c>
      <c r="L18" s="161">
        <f t="shared" si="40"/>
        <v>64209000</v>
      </c>
      <c r="M18" s="161">
        <f t="shared" si="40"/>
        <v>107424818</v>
      </c>
      <c r="N18" s="161">
        <f t="shared" si="40"/>
        <v>495200</v>
      </c>
      <c r="O18" s="162">
        <f t="shared" si="40"/>
        <v>880981618</v>
      </c>
      <c r="P18" s="163">
        <f t="shared" si="40"/>
        <v>0</v>
      </c>
      <c r="Q18" s="161">
        <f t="shared" si="40"/>
        <v>16350000</v>
      </c>
      <c r="R18" s="161">
        <f t="shared" si="40"/>
        <v>3313220</v>
      </c>
      <c r="S18" s="162">
        <f t="shared" si="0"/>
        <v>19663220</v>
      </c>
      <c r="T18" s="164">
        <f t="shared" si="24"/>
        <v>900644838</v>
      </c>
      <c r="U18" s="165">
        <f t="shared" ref="U18:AA18" si="41">SUM(U6:U17)</f>
        <v>2763.7993997643248</v>
      </c>
      <c r="V18" s="161">
        <f t="shared" si="41"/>
        <v>155110500</v>
      </c>
      <c r="W18" s="161">
        <f t="shared" si="41"/>
        <v>190826250</v>
      </c>
      <c r="X18" s="161">
        <f t="shared" si="41"/>
        <v>280718250</v>
      </c>
      <c r="Y18" s="161">
        <f t="shared" si="41"/>
        <v>0</v>
      </c>
      <c r="Z18" s="161">
        <f t="shared" si="41"/>
        <v>1965744</v>
      </c>
      <c r="AA18" s="161">
        <f t="shared" si="41"/>
        <v>628620744</v>
      </c>
      <c r="AB18" s="165">
        <f>SUM(AB6:AB17)</f>
        <v>1929.0419060244517</v>
      </c>
      <c r="AC18" s="161">
        <f>SUM(AC6:AC17)</f>
        <v>1529265582</v>
      </c>
      <c r="AD18" s="167">
        <f t="shared" si="5"/>
        <v>4692.8413057887756</v>
      </c>
      <c r="AE18" s="109"/>
      <c r="AF18" s="110"/>
      <c r="AG18" s="169"/>
      <c r="AH18" s="170"/>
      <c r="AI18" s="170"/>
      <c r="AJ18" s="170"/>
      <c r="AK18" s="170"/>
      <c r="AL18" s="170"/>
      <c r="AM18" s="170"/>
      <c r="AN18" s="170"/>
      <c r="AO18" s="170"/>
      <c r="AP18" s="170"/>
      <c r="AQ18" s="170"/>
      <c r="AR18" s="170"/>
      <c r="AS18" s="170"/>
      <c r="AT18" s="171"/>
      <c r="AU18" s="170"/>
      <c r="AV18" s="170"/>
      <c r="AW18" s="171"/>
      <c r="AX18" s="172"/>
      <c r="AY18" s="170"/>
      <c r="AZ18" s="170"/>
      <c r="BA18" s="170"/>
      <c r="BB18" s="170"/>
      <c r="BC18" s="170"/>
      <c r="BD18" s="172"/>
      <c r="BE18" s="173"/>
      <c r="BF18" s="136"/>
      <c r="BG18" s="136"/>
      <c r="BH18" s="132" t="s">
        <v>80</v>
      </c>
      <c r="BI18" s="276">
        <f t="shared" ref="BI18:CF18" si="42">+AVERAGE(BI6:BI17)</f>
        <v>0.1357470769329237</v>
      </c>
      <c r="BJ18" s="276">
        <f t="shared" si="42"/>
        <v>0</v>
      </c>
      <c r="BK18" s="276">
        <f t="shared" si="42"/>
        <v>0</v>
      </c>
      <c r="BL18" s="276">
        <f t="shared" si="42"/>
        <v>0.45792649769585259</v>
      </c>
      <c r="BM18" s="276">
        <f t="shared" si="42"/>
        <v>5.3650576676907334E-2</v>
      </c>
      <c r="BN18" s="276">
        <f t="shared" si="42"/>
        <v>0.35292414874551969</v>
      </c>
      <c r="BO18" s="276">
        <f t="shared" si="42"/>
        <v>0.28389667818740399</v>
      </c>
      <c r="BP18" s="276">
        <f t="shared" si="42"/>
        <v>0.16308213005632363</v>
      </c>
      <c r="BQ18" s="276">
        <f t="shared" si="42"/>
        <v>0.25538739119303638</v>
      </c>
      <c r="BR18" s="276">
        <f t="shared" si="42"/>
        <v>0.23847126856118792</v>
      </c>
      <c r="BS18" s="276">
        <f t="shared" si="42"/>
        <v>0.17679343317972349</v>
      </c>
      <c r="BT18" s="276">
        <f t="shared" si="42"/>
        <v>0.294545806938044</v>
      </c>
      <c r="BU18" s="278">
        <f t="shared" si="42"/>
        <v>1.3320468509984637E-3</v>
      </c>
      <c r="BV18" s="276">
        <f t="shared" si="42"/>
        <v>0</v>
      </c>
      <c r="BW18" s="276">
        <f t="shared" si="42"/>
        <v>4.4791961085509473E-2</v>
      </c>
      <c r="BX18" s="276">
        <f t="shared" si="42"/>
        <v>9.0754032258064509E-3</v>
      </c>
      <c r="BY18" s="277">
        <f t="shared" si="42"/>
        <v>5.3867364311315918E-2</v>
      </c>
      <c r="BZ18" s="277">
        <f t="shared" si="42"/>
        <v>2.4662923724782386</v>
      </c>
      <c r="CA18" s="276">
        <f t="shared" si="42"/>
        <v>0.4219877688172044</v>
      </c>
      <c r="CB18" s="276">
        <f t="shared" si="42"/>
        <v>0.52168531586021505</v>
      </c>
      <c r="CC18" s="276">
        <f t="shared" si="42"/>
        <v>0.76737772657450076</v>
      </c>
      <c r="CD18" s="276">
        <f t="shared" si="42"/>
        <v>0</v>
      </c>
      <c r="CE18" s="276">
        <f t="shared" si="42"/>
        <v>5.844836763952894E-3</v>
      </c>
      <c r="CF18" s="277">
        <f t="shared" si="42"/>
        <v>1.716895648015873</v>
      </c>
      <c r="CG18" s="276">
        <f t="shared" si="18"/>
        <v>4.1831880204941116</v>
      </c>
      <c r="CH18" s="278">
        <f>+AVERAGE(CH6:CH17)</f>
        <v>12.836905350855895</v>
      </c>
      <c r="CI18" s="298">
        <f>+AVERAGE(CI6:CI17)</f>
        <v>3.8161832362816877</v>
      </c>
      <c r="CJ18" s="274">
        <f>+AVERAGE(CJ6:CJ17)</f>
        <v>2.6566146266833051</v>
      </c>
      <c r="CK18" s="275">
        <f>+AVERAGE(CK6:CK17)</f>
        <v>6.4727978629649927</v>
      </c>
    </row>
    <row r="19" spans="1:120" ht="13.5" thickBot="1" x14ac:dyDescent="0.25">
      <c r="A19" s="208" t="s">
        <v>81</v>
      </c>
      <c r="B19" s="209">
        <f t="shared" ref="B19:R19" si="43">+B18/325872</f>
        <v>152.90819708351745</v>
      </c>
      <c r="C19" s="209">
        <f t="shared" si="43"/>
        <v>0</v>
      </c>
      <c r="D19" s="209">
        <f t="shared" si="43"/>
        <v>0</v>
      </c>
      <c r="E19" s="209">
        <f t="shared" si="43"/>
        <v>512.33920066774681</v>
      </c>
      <c r="F19" s="209">
        <f t="shared" si="43"/>
        <v>60.444284872588007</v>
      </c>
      <c r="G19" s="209">
        <f t="shared" si="43"/>
        <v>396.05427898070405</v>
      </c>
      <c r="H19" s="209">
        <f t="shared" si="43"/>
        <v>317.86713801738108</v>
      </c>
      <c r="I19" s="209">
        <f t="shared" si="43"/>
        <v>182.75273727107577</v>
      </c>
      <c r="J19" s="209">
        <f t="shared" si="43"/>
        <v>286.10313251828939</v>
      </c>
      <c r="K19" s="209">
        <f t="shared" si="43"/>
        <v>266.7795944419895</v>
      </c>
      <c r="L19" s="209">
        <f t="shared" si="43"/>
        <v>197.03748711150391</v>
      </c>
      <c r="M19" s="209">
        <f t="shared" si="43"/>
        <v>329.65341606520354</v>
      </c>
      <c r="N19" s="209">
        <f t="shared" si="43"/>
        <v>1.5196150635832475</v>
      </c>
      <c r="O19" s="210">
        <f t="shared" si="43"/>
        <v>2703.4590820935828</v>
      </c>
      <c r="P19" s="211">
        <f t="shared" si="43"/>
        <v>0</v>
      </c>
      <c r="Q19" s="209">
        <f t="shared" si="43"/>
        <v>50.173074090440416</v>
      </c>
      <c r="R19" s="209">
        <f t="shared" si="43"/>
        <v>10.167243580301468</v>
      </c>
      <c r="S19" s="210">
        <f t="shared" si="0"/>
        <v>60.340317670741882</v>
      </c>
      <c r="T19" s="212">
        <f t="shared" si="24"/>
        <v>2763.7993997643248</v>
      </c>
      <c r="U19" s="213"/>
      <c r="V19" s="209">
        <f>+V18/325872</f>
        <v>475.98596995139195</v>
      </c>
      <c r="W19" s="209">
        <f>+W18/325872</f>
        <v>585.58651863308296</v>
      </c>
      <c r="X19" s="209">
        <f>+X18/325872</f>
        <v>861.43715937546028</v>
      </c>
      <c r="Y19" s="209">
        <f>+Y18/325872</f>
        <v>0</v>
      </c>
      <c r="Z19" s="209">
        <f>+Z18/325872</f>
        <v>6.032258064516129</v>
      </c>
      <c r="AA19" s="214">
        <f>SUM(V19:Y19)</f>
        <v>1923.0096479599351</v>
      </c>
      <c r="AB19" s="213"/>
      <c r="AC19" s="209">
        <f>+AA19+T19</f>
        <v>4686.8090477242604</v>
      </c>
      <c r="AD19" s="215">
        <f>SUM(AD6:AD17)</f>
        <v>4692.8413057887756</v>
      </c>
      <c r="AE19" s="168"/>
      <c r="AF19" s="216" t="str">
        <f>+A19</f>
        <v>Total Yr (Ac-Ft)</v>
      </c>
      <c r="AG19" s="217">
        <f t="shared" ref="AG19:BE19" si="44">SUM(AG6:AG18)</f>
        <v>152.90819708351745</v>
      </c>
      <c r="AH19" s="218">
        <f t="shared" si="44"/>
        <v>0</v>
      </c>
      <c r="AI19" s="218">
        <f t="shared" si="44"/>
        <v>0</v>
      </c>
      <c r="AJ19" s="218">
        <f t="shared" si="44"/>
        <v>512.33920066774692</v>
      </c>
      <c r="AK19" s="218">
        <f t="shared" si="44"/>
        <v>60.444284872588007</v>
      </c>
      <c r="AL19" s="218">
        <f t="shared" si="44"/>
        <v>396.05427898070411</v>
      </c>
      <c r="AM19" s="218">
        <f t="shared" si="44"/>
        <v>317.86713801738102</v>
      </c>
      <c r="AN19" s="218">
        <f t="shared" si="44"/>
        <v>182.75273727107577</v>
      </c>
      <c r="AO19" s="218">
        <f t="shared" si="44"/>
        <v>286.10313251828939</v>
      </c>
      <c r="AP19" s="218">
        <f t="shared" si="44"/>
        <v>266.7795944419895</v>
      </c>
      <c r="AQ19" s="218">
        <f t="shared" si="44"/>
        <v>197.03748711150388</v>
      </c>
      <c r="AR19" s="218">
        <f t="shared" si="44"/>
        <v>329.65341606520349</v>
      </c>
      <c r="AS19" s="218">
        <f t="shared" si="44"/>
        <v>9.2060686404477829E-3</v>
      </c>
      <c r="AT19" s="219">
        <f t="shared" si="44"/>
        <v>1.5104089949427995</v>
      </c>
      <c r="AU19" s="218">
        <f t="shared" si="44"/>
        <v>50.173074090440416</v>
      </c>
      <c r="AV19" s="218">
        <f t="shared" si="44"/>
        <v>10.167243580301466</v>
      </c>
      <c r="AW19" s="219">
        <f t="shared" si="44"/>
        <v>60.340317670741889</v>
      </c>
      <c r="AX19" s="220">
        <f t="shared" si="44"/>
        <v>2763.7993997643248</v>
      </c>
      <c r="AY19" s="218">
        <f t="shared" si="44"/>
        <v>475.98596995139195</v>
      </c>
      <c r="AZ19" s="218">
        <f t="shared" si="44"/>
        <v>585.58651863308285</v>
      </c>
      <c r="BA19" s="218">
        <f t="shared" si="44"/>
        <v>861.43715937546028</v>
      </c>
      <c r="BB19" s="218">
        <f t="shared" si="44"/>
        <v>0</v>
      </c>
      <c r="BC19" s="218">
        <f t="shared" si="44"/>
        <v>6.032258064516129</v>
      </c>
      <c r="BD19" s="220">
        <f t="shared" si="44"/>
        <v>1929.0419060244517</v>
      </c>
      <c r="BE19" s="221">
        <f t="shared" si="44"/>
        <v>4692.8413057887756</v>
      </c>
      <c r="BF19" s="107"/>
      <c r="BG19" s="107"/>
      <c r="BH19" s="155" t="s">
        <v>82</v>
      </c>
      <c r="BI19" s="296">
        <f t="shared" ref="BI19:CF19" si="45">+BI18/(325872/1000000)</f>
        <v>0.4165656359948805</v>
      </c>
      <c r="BJ19" s="296">
        <f t="shared" si="45"/>
        <v>0</v>
      </c>
      <c r="BK19" s="296">
        <f t="shared" si="45"/>
        <v>0</v>
      </c>
      <c r="BL19" s="296">
        <f t="shared" si="45"/>
        <v>1.4052342566892908</v>
      </c>
      <c r="BM19" s="296">
        <f t="shared" si="45"/>
        <v>0.16463696382907195</v>
      </c>
      <c r="BN19" s="296">
        <f t="shared" si="45"/>
        <v>1.083014646074286</v>
      </c>
      <c r="BO19" s="296">
        <f t="shared" si="45"/>
        <v>0.871190768729452</v>
      </c>
      <c r="BP19" s="296">
        <f t="shared" si="45"/>
        <v>0.50044842777631593</v>
      </c>
      <c r="BQ19" s="296">
        <f t="shared" si="45"/>
        <v>0.78370461774266087</v>
      </c>
      <c r="BR19" s="296">
        <f t="shared" si="45"/>
        <v>0.73179428904965116</v>
      </c>
      <c r="BS19" s="296">
        <f t="shared" si="45"/>
        <v>0.54252416034431772</v>
      </c>
      <c r="BT19" s="296">
        <f t="shared" si="45"/>
        <v>0.90386963880923799</v>
      </c>
      <c r="BU19" s="297">
        <f t="shared" si="45"/>
        <v>4.087638247528059E-3</v>
      </c>
      <c r="BV19" s="296">
        <f t="shared" si="45"/>
        <v>0</v>
      </c>
      <c r="BW19" s="296">
        <f t="shared" si="45"/>
        <v>0.13745262276448875</v>
      </c>
      <c r="BX19" s="296">
        <f t="shared" si="45"/>
        <v>2.7849595012171807E-2</v>
      </c>
      <c r="BY19" s="299">
        <f t="shared" si="45"/>
        <v>0.16530221777666051</v>
      </c>
      <c r="BZ19" s="299">
        <f t="shared" si="45"/>
        <v>7.5682856228158251</v>
      </c>
      <c r="CA19" s="296">
        <f t="shared" si="45"/>
        <v>1.2949494550535314</v>
      </c>
      <c r="CB19" s="296">
        <f t="shared" si="45"/>
        <v>1.6008902755076075</v>
      </c>
      <c r="CC19" s="296">
        <f t="shared" si="45"/>
        <v>2.3548440079985418</v>
      </c>
      <c r="CD19" s="296">
        <f t="shared" si="45"/>
        <v>0</v>
      </c>
      <c r="CE19" s="296">
        <f t="shared" si="45"/>
        <v>1.793598948038768E-2</v>
      </c>
      <c r="CF19" s="299">
        <f t="shared" si="45"/>
        <v>5.2686197280400684</v>
      </c>
      <c r="CG19" s="300">
        <f t="shared" si="18"/>
        <v>12.836905350855893</v>
      </c>
      <c r="CH19" s="297">
        <f>+CH18/(325872/1000000)</f>
        <v>39.392477263636934</v>
      </c>
      <c r="CI19" s="295"/>
      <c r="CJ19" s="296"/>
      <c r="CK19" s="297"/>
    </row>
    <row r="20" spans="1:120" x14ac:dyDescent="0.2">
      <c r="A20" s="104"/>
      <c r="B20" s="107"/>
      <c r="C20" s="227"/>
      <c r="N20" s="227">
        <f>SUM(B12:N12)</f>
        <v>79916300</v>
      </c>
      <c r="S20" s="227"/>
      <c r="T20" s="229"/>
      <c r="V20" s="230">
        <f t="shared" ref="V20:V31" si="46">+A6</f>
        <v>41275</v>
      </c>
      <c r="W20" s="231">
        <f t="shared" ref="W20:W31" si="47">SUM(V6:Y6)</f>
        <v>21351750</v>
      </c>
      <c r="Z20" s="231"/>
      <c r="AA20" s="231"/>
      <c r="AB20" s="232"/>
      <c r="AC20" s="233"/>
      <c r="AG20" s="74">
        <f t="shared" ref="AG20:AR20" si="48">+AG19/$AX$19</f>
        <v>5.5325360117147525E-2</v>
      </c>
      <c r="AH20" s="74">
        <f t="shared" si="48"/>
        <v>0</v>
      </c>
      <c r="AI20" s="74">
        <f t="shared" si="48"/>
        <v>0</v>
      </c>
      <c r="AJ20" s="74">
        <f t="shared" si="48"/>
        <v>0.18537495909125504</v>
      </c>
      <c r="AK20" s="74">
        <f t="shared" si="48"/>
        <v>2.1869997105340648E-2</v>
      </c>
      <c r="AL20" s="74">
        <f t="shared" si="48"/>
        <v>0.1433006603208889</v>
      </c>
      <c r="AM20" s="74">
        <f t="shared" si="48"/>
        <v>0.11501092953579997</v>
      </c>
      <c r="AN20" s="74">
        <f t="shared" si="48"/>
        <v>6.6123734337108359E-2</v>
      </c>
      <c r="AO20" s="74">
        <f t="shared" si="48"/>
        <v>0.1035180529175475</v>
      </c>
      <c r="AP20" s="74">
        <f t="shared" si="48"/>
        <v>9.6526395680069391E-2</v>
      </c>
      <c r="AQ20" s="74">
        <f t="shared" si="48"/>
        <v>7.1292253384346818E-2</v>
      </c>
      <c r="AR20" s="74">
        <f t="shared" si="48"/>
        <v>0.11927544961957577</v>
      </c>
      <c r="AT20" s="74">
        <f>+AT19/$AX$19</f>
        <v>5.4649733083797448E-4</v>
      </c>
      <c r="AU20" s="74">
        <f>+AU19/$AX$19</f>
        <v>1.8153659811460551E-2</v>
      </c>
      <c r="AV20" s="74">
        <f>+AV19/$AX$19</f>
        <v>3.6787198018671144E-3</v>
      </c>
      <c r="AX20" s="234"/>
      <c r="AY20" s="74">
        <f>+AY19/$BE$19</f>
        <v>0.10142809844523135</v>
      </c>
      <c r="AZ20" s="74">
        <f>+AZ19/$BE$19</f>
        <v>0.12478293649323757</v>
      </c>
      <c r="BA20" s="74">
        <f>+BA19/$BE$19</f>
        <v>0.18356409331652637</v>
      </c>
      <c r="BB20" s="74">
        <f>+BB19/$BE$19</f>
        <v>0</v>
      </c>
      <c r="BC20" s="74">
        <f>+BC19/$BE$19</f>
        <v>1.2854170152898925E-3</v>
      </c>
      <c r="BD20" s="235"/>
      <c r="BE20" s="236">
        <f>SUM(AG20:BD20)</f>
        <v>1.4110572143235307</v>
      </c>
      <c r="BF20" s="237"/>
      <c r="BG20" s="97"/>
    </row>
    <row r="21" spans="1:120" ht="13.5" thickBot="1" x14ac:dyDescent="0.25">
      <c r="A21" s="238"/>
      <c r="B21" s="239">
        <v>41275</v>
      </c>
      <c r="C21" s="239">
        <f t="shared" ref="C21:J21" si="49">31+B21</f>
        <v>41306</v>
      </c>
      <c r="D21" s="239">
        <f t="shared" si="49"/>
        <v>41337</v>
      </c>
      <c r="E21" s="239">
        <f t="shared" si="49"/>
        <v>41368</v>
      </c>
      <c r="F21" s="239">
        <f t="shared" si="49"/>
        <v>41399</v>
      </c>
      <c r="G21" s="239">
        <f t="shared" si="49"/>
        <v>41430</v>
      </c>
      <c r="H21" s="239">
        <f t="shared" si="49"/>
        <v>41461</v>
      </c>
      <c r="I21" s="239">
        <f t="shared" si="49"/>
        <v>41492</v>
      </c>
      <c r="J21" s="239">
        <f t="shared" si="49"/>
        <v>41523</v>
      </c>
      <c r="K21" s="239">
        <f>31+J21</f>
        <v>41554</v>
      </c>
      <c r="L21" s="239">
        <f>31+K21</f>
        <v>41585</v>
      </c>
      <c r="M21" s="239">
        <f>31+L21</f>
        <v>41616</v>
      </c>
      <c r="N21" s="239"/>
      <c r="O21" s="301" t="s">
        <v>87</v>
      </c>
      <c r="P21" s="82"/>
      <c r="R21" s="441" t="s">
        <v>83</v>
      </c>
      <c r="S21" s="441"/>
      <c r="T21" s="229"/>
      <c r="V21" s="230">
        <f t="shared" si="46"/>
        <v>41306</v>
      </c>
      <c r="W21" s="231">
        <f t="shared" si="47"/>
        <v>15701250</v>
      </c>
      <c r="Z21" s="240">
        <f>+Z10/325872</f>
        <v>0</v>
      </c>
      <c r="AB21" s="232"/>
      <c r="AC21" s="72"/>
      <c r="AF21" s="241"/>
      <c r="AT21" s="235"/>
      <c r="AX21" s="242"/>
      <c r="AZ21" s="85"/>
      <c r="BA21" s="85"/>
      <c r="BB21" s="85"/>
      <c r="BC21" s="85"/>
      <c r="BD21" s="85"/>
      <c r="BE21" s="85"/>
      <c r="BF21" s="237"/>
      <c r="BG21" s="97"/>
    </row>
    <row r="22" spans="1:120" x14ac:dyDescent="0.2">
      <c r="A22" s="80" t="s">
        <v>30</v>
      </c>
      <c r="B22" s="243">
        <f>+U6</f>
        <v>233.10790739922425</v>
      </c>
      <c r="C22" s="243">
        <f>+U7</f>
        <v>221.12399960720774</v>
      </c>
      <c r="D22" s="243">
        <f>+U8</f>
        <v>271.51053174252468</v>
      </c>
      <c r="E22" s="243">
        <f>+U9</f>
        <v>244.35753915647862</v>
      </c>
      <c r="F22" s="243">
        <f>+U10</f>
        <v>260.510814061963</v>
      </c>
      <c r="G22" s="243">
        <f>+U11</f>
        <v>244.73020081504396</v>
      </c>
      <c r="H22" s="243">
        <f>+U12</f>
        <v>250.47902243825797</v>
      </c>
      <c r="I22" s="243">
        <f>+U13</f>
        <v>233.46068394952619</v>
      </c>
      <c r="J22" s="243">
        <f>+U14</f>
        <v>216.72352948396917</v>
      </c>
      <c r="K22" s="243">
        <f>+U15</f>
        <v>207.00865370452203</v>
      </c>
      <c r="L22" s="243">
        <f>+U16</f>
        <v>177.23696420680511</v>
      </c>
      <c r="M22" s="243">
        <f>+U17</f>
        <v>203.54955319880199</v>
      </c>
      <c r="N22" s="243">
        <f>SUM(B22:M22)</f>
        <v>2763.7993997643248</v>
      </c>
      <c r="O22" s="229">
        <f>N22*100/N24</f>
        <v>58.893945472971488</v>
      </c>
      <c r="P22" s="82"/>
      <c r="R22" s="232">
        <f>T18/325851</f>
        <v>2763.9775173315411</v>
      </c>
      <c r="S22" s="60">
        <f>R22/R24</f>
        <v>0.58893945472971487</v>
      </c>
      <c r="T22" s="229"/>
      <c r="V22" s="230">
        <f t="shared" si="46"/>
        <v>41337</v>
      </c>
      <c r="W22" s="231">
        <f t="shared" si="47"/>
        <v>26051250</v>
      </c>
      <c r="Z22" s="231"/>
      <c r="AB22" s="232"/>
      <c r="AC22" s="62"/>
      <c r="AG22" s="235"/>
      <c r="AJ22" s="235"/>
      <c r="AK22" s="235"/>
      <c r="AL22" s="235"/>
      <c r="AM22" s="235"/>
      <c r="AN22" s="235"/>
      <c r="AO22" s="235"/>
      <c r="AP22" s="235"/>
      <c r="AQ22" s="235"/>
      <c r="AR22" s="235"/>
      <c r="AT22" s="235"/>
      <c r="AU22" s="235"/>
      <c r="BF22" s="237"/>
      <c r="BG22" s="97"/>
    </row>
    <row r="23" spans="1:120" ht="13.5" thickBot="1" x14ac:dyDescent="0.25">
      <c r="A23" s="80" t="s">
        <v>5</v>
      </c>
      <c r="B23" s="243">
        <f>+AB6</f>
        <v>65.521892031226983</v>
      </c>
      <c r="C23" s="243">
        <f>+AB7</f>
        <v>54.145658418029164</v>
      </c>
      <c r="D23" s="243">
        <f>+AB8</f>
        <v>79.94319855648844</v>
      </c>
      <c r="E23" s="243">
        <f>+AB9</f>
        <v>125.23475475033142</v>
      </c>
      <c r="F23" s="243">
        <f>+AB10</f>
        <v>138.86664088967447</v>
      </c>
      <c r="G23" s="243">
        <f>+AB11</f>
        <v>195.17325821181322</v>
      </c>
      <c r="H23" s="243">
        <f>+AB12</f>
        <v>216.79831344822506</v>
      </c>
      <c r="I23" s="243">
        <f>+AB13</f>
        <v>252.81475548681692</v>
      </c>
      <c r="J23" s="243">
        <f>+AB14</f>
        <v>241.56954264250993</v>
      </c>
      <c r="K23" s="243">
        <f>+AB15</f>
        <v>215.87770658418029</v>
      </c>
      <c r="L23" s="243">
        <f>+AB16</f>
        <v>190.52181224529878</v>
      </c>
      <c r="M23" s="243">
        <f>+AB17</f>
        <v>152.57437275985663</v>
      </c>
      <c r="N23" s="243">
        <f>SUM(B23:M23)</f>
        <v>1929.0419060244517</v>
      </c>
      <c r="O23" s="229">
        <f>N23*100/N25</f>
        <v>41.106054527028519</v>
      </c>
      <c r="P23" s="82"/>
      <c r="Q23" s="227"/>
      <c r="R23" s="232">
        <f>AA18/325851</f>
        <v>1929.1662262813372</v>
      </c>
      <c r="S23" s="60">
        <f>R23/R24</f>
        <v>0.41106054527028518</v>
      </c>
      <c r="T23" s="227"/>
      <c r="V23" s="230">
        <f t="shared" si="46"/>
        <v>41368</v>
      </c>
      <c r="W23" s="231">
        <f t="shared" si="47"/>
        <v>40810500</v>
      </c>
      <c r="X23" s="227">
        <f t="shared" ref="X23:X31" si="50">+V9+W9</f>
        <v>22915500</v>
      </c>
      <c r="Y23" s="79"/>
      <c r="Z23" s="69"/>
      <c r="AA23" s="79"/>
      <c r="AB23" s="232"/>
      <c r="AC23" s="231"/>
      <c r="AG23" s="244"/>
      <c r="AH23" s="244"/>
      <c r="AI23" s="244"/>
      <c r="AJ23" s="244"/>
      <c r="AK23" s="244"/>
      <c r="AL23" s="244"/>
      <c r="AM23" s="244"/>
      <c r="AN23" s="244"/>
      <c r="AO23" s="244"/>
      <c r="AP23" s="244"/>
      <c r="AQ23" s="244"/>
      <c r="AR23" s="244"/>
      <c r="AS23" s="244"/>
      <c r="AT23" s="244"/>
      <c r="BF23" s="245"/>
      <c r="BG23" s="97"/>
      <c r="BN23" s="61"/>
    </row>
    <row r="24" spans="1:120" x14ac:dyDescent="0.2">
      <c r="A24" s="80" t="s">
        <v>4</v>
      </c>
      <c r="B24" s="243">
        <f>+AD6</f>
        <v>298.62979943045121</v>
      </c>
      <c r="C24" s="243">
        <f>+AD7</f>
        <v>275.26965802523688</v>
      </c>
      <c r="D24" s="243">
        <f>+AD8</f>
        <v>351.4537302990131</v>
      </c>
      <c r="E24" s="243">
        <f>+AD9</f>
        <v>369.59229390681003</v>
      </c>
      <c r="F24" s="243">
        <f>+AD10</f>
        <v>399.37745495163745</v>
      </c>
      <c r="G24" s="243">
        <f>+AD11</f>
        <v>439.90345902685715</v>
      </c>
      <c r="H24" s="243">
        <f>+AD12</f>
        <v>467.27733588648306</v>
      </c>
      <c r="I24" s="243">
        <f>+AD13</f>
        <v>486.27543943634311</v>
      </c>
      <c r="J24" s="243">
        <f>+AD14</f>
        <v>458.2930721264791</v>
      </c>
      <c r="K24" s="243">
        <f>+AD15</f>
        <v>422.88636028870229</v>
      </c>
      <c r="L24" s="243">
        <f>+AD16</f>
        <v>367.75877645210392</v>
      </c>
      <c r="M24" s="243">
        <f>+AD17</f>
        <v>356.12392595865862</v>
      </c>
      <c r="N24" s="243">
        <f>SUM(B24:M24)</f>
        <v>4692.8413057887756</v>
      </c>
      <c r="O24" s="229"/>
      <c r="P24" s="82"/>
      <c r="Q24" s="82"/>
      <c r="R24" s="78">
        <f>SUM(R22:R23)</f>
        <v>4693.1437436128781</v>
      </c>
      <c r="S24" s="227"/>
      <c r="T24" s="246"/>
      <c r="V24" s="230">
        <f t="shared" si="46"/>
        <v>41399</v>
      </c>
      <c r="W24" s="231">
        <f t="shared" si="47"/>
        <v>45252750</v>
      </c>
      <c r="X24" s="231">
        <f t="shared" si="50"/>
        <v>25294500</v>
      </c>
      <c r="AB24" s="247"/>
      <c r="BF24" s="227"/>
      <c r="BG24" s="227"/>
    </row>
    <row r="25" spans="1:120" x14ac:dyDescent="0.2">
      <c r="A25" s="80"/>
      <c r="B25" s="248">
        <f t="shared" ref="B25:N25" si="51">+B22+B23</f>
        <v>298.62979943045121</v>
      </c>
      <c r="C25" s="248">
        <f t="shared" si="51"/>
        <v>275.26965802523688</v>
      </c>
      <c r="D25" s="248">
        <f t="shared" si="51"/>
        <v>351.4537302990131</v>
      </c>
      <c r="E25" s="248">
        <f t="shared" si="51"/>
        <v>369.59229390681003</v>
      </c>
      <c r="F25" s="248">
        <f t="shared" si="51"/>
        <v>399.37745495163745</v>
      </c>
      <c r="G25" s="248">
        <f t="shared" si="51"/>
        <v>439.90345902685715</v>
      </c>
      <c r="H25" s="248">
        <f t="shared" si="51"/>
        <v>467.277335886483</v>
      </c>
      <c r="I25" s="248">
        <f t="shared" si="51"/>
        <v>486.27543943634311</v>
      </c>
      <c r="J25" s="248">
        <f t="shared" si="51"/>
        <v>458.2930721264791</v>
      </c>
      <c r="K25" s="248">
        <f t="shared" si="51"/>
        <v>422.88636028870235</v>
      </c>
      <c r="L25" s="248">
        <f t="shared" si="51"/>
        <v>367.75877645210392</v>
      </c>
      <c r="M25" s="248">
        <f t="shared" si="51"/>
        <v>356.12392595865862</v>
      </c>
      <c r="N25" s="248">
        <f t="shared" si="51"/>
        <v>4692.8413057887765</v>
      </c>
      <c r="O25" s="227">
        <f>N25*325872</f>
        <v>1529265582.0000002</v>
      </c>
      <c r="P25" s="249"/>
      <c r="Q25" s="227">
        <v>2013</v>
      </c>
      <c r="S25" s="227"/>
      <c r="V25" s="230">
        <f t="shared" si="46"/>
        <v>41430</v>
      </c>
      <c r="W25" s="231">
        <f t="shared" si="47"/>
        <v>63601500</v>
      </c>
      <c r="X25" s="231">
        <f t="shared" si="50"/>
        <v>31517250</v>
      </c>
      <c r="AC25" s="231"/>
      <c r="AD25" s="250">
        <f>+AD18</f>
        <v>4692.8413057887756</v>
      </c>
      <c r="AE25" s="64"/>
      <c r="BF25" s="227"/>
      <c r="BG25" s="227"/>
    </row>
    <row r="26" spans="1:120" x14ac:dyDescent="0.2">
      <c r="A26" s="80" t="s">
        <v>84</v>
      </c>
      <c r="B26" s="249"/>
      <c r="C26" s="249"/>
      <c r="D26" s="249"/>
      <c r="E26" s="249"/>
      <c r="F26" s="249"/>
      <c r="G26" s="249"/>
      <c r="H26" s="249"/>
      <c r="I26" s="249"/>
      <c r="J26" s="249"/>
      <c r="K26" s="249"/>
      <c r="L26" s="249"/>
      <c r="M26" s="249"/>
      <c r="N26" s="249"/>
      <c r="O26" s="302">
        <v>1516665528.0000002</v>
      </c>
      <c r="P26" s="249"/>
      <c r="Q26" s="227">
        <v>2012</v>
      </c>
      <c r="R26" s="442">
        <f>R24*325851</f>
        <v>1529265582</v>
      </c>
      <c r="S26" s="442"/>
      <c r="V26" s="230">
        <f t="shared" si="46"/>
        <v>41461</v>
      </c>
      <c r="W26" s="231">
        <f t="shared" si="47"/>
        <v>70648500</v>
      </c>
      <c r="X26" s="231">
        <f t="shared" si="50"/>
        <v>46596000</v>
      </c>
      <c r="AB26" s="181"/>
      <c r="AC26" s="231"/>
      <c r="AD26" s="250">
        <f>+T19</f>
        <v>2763.7993997643248</v>
      </c>
      <c r="AE26" s="64">
        <f>+AD26/AD25</f>
        <v>0.58893945472971487</v>
      </c>
      <c r="AW26" s="85">
        <v>78.900000000000006</v>
      </c>
      <c r="BF26" s="227"/>
      <c r="BG26" s="227"/>
    </row>
    <row r="27" spans="1:120" x14ac:dyDescent="0.2">
      <c r="A27" s="80" t="s">
        <v>30</v>
      </c>
      <c r="B27" s="251">
        <v>250</v>
      </c>
      <c r="C27" s="251">
        <v>230</v>
      </c>
      <c r="D27" s="251">
        <v>245</v>
      </c>
      <c r="E27" s="251">
        <v>260</v>
      </c>
      <c r="F27" s="251">
        <v>275</v>
      </c>
      <c r="G27" s="251">
        <v>275</v>
      </c>
      <c r="H27" s="251">
        <v>250</v>
      </c>
      <c r="I27" s="251">
        <v>250</v>
      </c>
      <c r="J27" s="251">
        <v>240</v>
      </c>
      <c r="K27" s="251">
        <v>250</v>
      </c>
      <c r="L27" s="251">
        <v>240</v>
      </c>
      <c r="M27" s="251">
        <v>250</v>
      </c>
      <c r="N27" s="82">
        <f>SUM(B27:M27)</f>
        <v>3015</v>
      </c>
      <c r="O27" s="229">
        <f>O25-O26</f>
        <v>12600054</v>
      </c>
      <c r="P27" s="249"/>
      <c r="Q27" s="80" t="s">
        <v>88</v>
      </c>
      <c r="S27" s="227"/>
      <c r="V27" s="230">
        <f t="shared" si="46"/>
        <v>41492</v>
      </c>
      <c r="W27" s="231">
        <f t="shared" si="47"/>
        <v>82385250</v>
      </c>
      <c r="X27" s="231">
        <f t="shared" si="50"/>
        <v>51815250</v>
      </c>
      <c r="AB27" s="231">
        <f>+Z16+Z17</f>
        <v>22440</v>
      </c>
      <c r="AC27" s="231"/>
      <c r="AD27" s="250">
        <f>+AA19</f>
        <v>1923.0096479599351</v>
      </c>
      <c r="AE27" s="64">
        <f>+AD27/AD25</f>
        <v>0.40977512825499529</v>
      </c>
      <c r="AW27" s="85">
        <v>20.2</v>
      </c>
      <c r="BF27" s="227"/>
      <c r="BG27" s="227"/>
    </row>
    <row r="28" spans="1:120" x14ac:dyDescent="0.2">
      <c r="A28" s="80" t="s">
        <v>5</v>
      </c>
      <c r="B28" s="251">
        <v>80</v>
      </c>
      <c r="C28" s="253">
        <v>80</v>
      </c>
      <c r="D28" s="253">
        <v>80</v>
      </c>
      <c r="E28" s="253">
        <v>80</v>
      </c>
      <c r="F28" s="253">
        <v>110</v>
      </c>
      <c r="G28" s="253">
        <v>130</v>
      </c>
      <c r="H28" s="253">
        <v>230</v>
      </c>
      <c r="I28" s="253">
        <v>235</v>
      </c>
      <c r="J28" s="253">
        <v>240</v>
      </c>
      <c r="K28" s="253">
        <v>160</v>
      </c>
      <c r="L28" s="253">
        <v>110</v>
      </c>
      <c r="M28" s="253">
        <v>60</v>
      </c>
      <c r="N28" s="82">
        <f>SUM(B28:M28)</f>
        <v>1595</v>
      </c>
      <c r="O28" s="80">
        <f>O27*100/O25</f>
        <v>0.82392843651927539</v>
      </c>
      <c r="P28" s="249"/>
      <c r="Q28" s="227" t="s">
        <v>89</v>
      </c>
      <c r="S28" s="227"/>
      <c r="V28" s="230">
        <f t="shared" si="46"/>
        <v>41523</v>
      </c>
      <c r="W28" s="231">
        <f t="shared" si="47"/>
        <v>78720750</v>
      </c>
      <c r="X28" s="231">
        <f t="shared" si="50"/>
        <v>48075750</v>
      </c>
      <c r="AB28" s="181">
        <f>+AB27/10^6</f>
        <v>2.2440000000000002E-2</v>
      </c>
      <c r="AW28" s="85">
        <f>+AW26-AW27</f>
        <v>58.7</v>
      </c>
      <c r="BF28" s="227"/>
      <c r="BG28" s="227"/>
    </row>
    <row r="29" spans="1:120" x14ac:dyDescent="0.2">
      <c r="A29" s="80" t="s">
        <v>4</v>
      </c>
      <c r="B29" s="254">
        <f t="shared" ref="B29:M29" si="52">+B27+B28</f>
        <v>330</v>
      </c>
      <c r="C29" s="254">
        <f t="shared" si="52"/>
        <v>310</v>
      </c>
      <c r="D29" s="254">
        <f t="shared" si="52"/>
        <v>325</v>
      </c>
      <c r="E29" s="254">
        <f t="shared" si="52"/>
        <v>340</v>
      </c>
      <c r="F29" s="254">
        <f t="shared" si="52"/>
        <v>385</v>
      </c>
      <c r="G29" s="254">
        <f t="shared" si="52"/>
        <v>405</v>
      </c>
      <c r="H29" s="254">
        <f t="shared" si="52"/>
        <v>480</v>
      </c>
      <c r="I29" s="254">
        <f t="shared" si="52"/>
        <v>485</v>
      </c>
      <c r="J29" s="254">
        <f t="shared" si="52"/>
        <v>480</v>
      </c>
      <c r="K29" s="254">
        <f t="shared" si="52"/>
        <v>410</v>
      </c>
      <c r="L29" s="254">
        <f t="shared" si="52"/>
        <v>350</v>
      </c>
      <c r="M29" s="254">
        <f t="shared" si="52"/>
        <v>310</v>
      </c>
      <c r="N29" s="82">
        <f>SUM(B29:M29)</f>
        <v>4610</v>
      </c>
      <c r="O29" s="255">
        <f>+N29-N25</f>
        <v>-82.841305788776481</v>
      </c>
      <c r="P29" s="249"/>
      <c r="Q29" s="227"/>
      <c r="S29" s="227"/>
      <c r="V29" s="230">
        <f t="shared" si="46"/>
        <v>41554</v>
      </c>
      <c r="W29" s="231">
        <f t="shared" si="47"/>
        <v>70348500</v>
      </c>
      <c r="X29" s="231">
        <f t="shared" si="50"/>
        <v>32055000</v>
      </c>
      <c r="Z29" s="72"/>
      <c r="AB29" s="256"/>
      <c r="AW29" s="85">
        <v>49.5</v>
      </c>
      <c r="AY29" s="85">
        <v>13146</v>
      </c>
      <c r="BF29" s="227"/>
      <c r="BG29" s="227"/>
    </row>
    <row r="30" spans="1:120" x14ac:dyDescent="0.2">
      <c r="A30" s="80"/>
      <c r="B30" s="249"/>
      <c r="C30" s="249"/>
      <c r="D30" s="249"/>
      <c r="E30" s="257"/>
      <c r="F30" s="257"/>
      <c r="G30" s="257"/>
      <c r="H30" s="257"/>
      <c r="I30" s="257"/>
      <c r="J30" s="257"/>
      <c r="K30" s="257"/>
      <c r="L30" s="257"/>
      <c r="M30" s="257"/>
      <c r="N30" s="249"/>
      <c r="O30" s="60">
        <f>+O29/N29</f>
        <v>-1.7969914487804009E-2</v>
      </c>
      <c r="P30" s="249"/>
      <c r="Q30" s="66"/>
      <c r="V30" s="230">
        <f t="shared" si="46"/>
        <v>41585</v>
      </c>
      <c r="W30" s="231">
        <f t="shared" si="47"/>
        <v>62076000</v>
      </c>
      <c r="X30" s="231">
        <f t="shared" si="50"/>
        <v>23392500</v>
      </c>
      <c r="Z30" s="61"/>
      <c r="AA30" s="61"/>
      <c r="AB30" s="258"/>
      <c r="AC30" s="258"/>
      <c r="AW30" s="85">
        <f>+AW28+AW29</f>
        <v>108.2</v>
      </c>
      <c r="AX30" s="85">
        <f>+AW28/AW30</f>
        <v>0.54251386321626616</v>
      </c>
      <c r="AY30" s="85">
        <f>+AY29*AX30</f>
        <v>7131.8872458410351</v>
      </c>
      <c r="BF30" s="227"/>
      <c r="BG30" s="227"/>
    </row>
    <row r="31" spans="1:120" x14ac:dyDescent="0.2">
      <c r="A31" s="80" t="s">
        <v>5</v>
      </c>
      <c r="B31" s="70">
        <f t="shared" ref="B31:M31" si="53">+B23/B24</f>
        <v>0.21940841857105614</v>
      </c>
      <c r="C31" s="70">
        <f t="shared" si="53"/>
        <v>0.19670042389148848</v>
      </c>
      <c r="D31" s="70">
        <f t="shared" si="53"/>
        <v>0.22746436206118403</v>
      </c>
      <c r="E31" s="70">
        <f t="shared" si="53"/>
        <v>0.3388456870313114</v>
      </c>
      <c r="F31" s="70">
        <f t="shared" si="53"/>
        <v>0.3477077615873197</v>
      </c>
      <c r="G31" s="70">
        <f t="shared" si="53"/>
        <v>0.44367293370134064</v>
      </c>
      <c r="H31" s="70">
        <f t="shared" si="53"/>
        <v>0.46396068629549897</v>
      </c>
      <c r="I31" s="70">
        <f t="shared" si="53"/>
        <v>0.51990031777023804</v>
      </c>
      <c r="J31" s="70">
        <f t="shared" si="53"/>
        <v>0.52710712278854155</v>
      </c>
      <c r="K31" s="70">
        <f t="shared" si="53"/>
        <v>0.51048633121390274</v>
      </c>
      <c r="L31" s="70">
        <f t="shared" si="53"/>
        <v>0.51806190482611614</v>
      </c>
      <c r="M31" s="70">
        <f t="shared" si="53"/>
        <v>0.42843055924742485</v>
      </c>
      <c r="N31" s="249"/>
      <c r="P31" s="249"/>
      <c r="Q31" s="227"/>
      <c r="V31" s="230">
        <f t="shared" si="46"/>
        <v>41616</v>
      </c>
      <c r="W31" s="231">
        <f t="shared" si="47"/>
        <v>49707000</v>
      </c>
      <c r="X31" s="231">
        <f t="shared" si="50"/>
        <v>22326750</v>
      </c>
      <c r="Z31" s="258"/>
      <c r="AA31" s="258"/>
      <c r="AB31" s="258"/>
      <c r="AX31" s="85">
        <f>+AW29/AW30</f>
        <v>0.45748613678373379</v>
      </c>
      <c r="AY31" s="85">
        <f>+AX31*AY29</f>
        <v>6014.112754158964</v>
      </c>
      <c r="BF31" s="227"/>
      <c r="BG31" s="227"/>
    </row>
    <row r="32" spans="1:120" x14ac:dyDescent="0.2">
      <c r="A32" s="80" t="s">
        <v>30</v>
      </c>
      <c r="B32" s="71">
        <f t="shared" ref="B32:M32" si="54">+B22/B24</f>
        <v>0.78059158142894391</v>
      </c>
      <c r="C32" s="71">
        <f t="shared" si="54"/>
        <v>0.80329957610851166</v>
      </c>
      <c r="D32" s="71">
        <f t="shared" si="54"/>
        <v>0.77253563793881597</v>
      </c>
      <c r="E32" s="71">
        <f t="shared" si="54"/>
        <v>0.66115431296868865</v>
      </c>
      <c r="F32" s="71">
        <f t="shared" si="54"/>
        <v>0.65229223841268036</v>
      </c>
      <c r="G32" s="71">
        <f t="shared" si="54"/>
        <v>0.55632706629865936</v>
      </c>
      <c r="H32" s="71">
        <f t="shared" si="54"/>
        <v>0.53603931370450097</v>
      </c>
      <c r="I32" s="71">
        <f t="shared" si="54"/>
        <v>0.48009968222976196</v>
      </c>
      <c r="J32" s="71">
        <f t="shared" si="54"/>
        <v>0.47289287721145851</v>
      </c>
      <c r="K32" s="71">
        <f t="shared" si="54"/>
        <v>0.48951366878609731</v>
      </c>
      <c r="L32" s="71">
        <f t="shared" si="54"/>
        <v>0.48193809517388381</v>
      </c>
      <c r="M32" s="71">
        <f t="shared" si="54"/>
        <v>0.57156944075257521</v>
      </c>
      <c r="N32" s="249"/>
      <c r="P32" s="249"/>
      <c r="Q32" s="227"/>
      <c r="V32" s="230"/>
      <c r="AA32" s="64"/>
      <c r="AB32" s="258"/>
      <c r="AC32" s="258"/>
      <c r="BF32" s="227"/>
      <c r="BG32" s="227"/>
    </row>
    <row r="33" spans="1:59" s="83" customFormat="1" x14ac:dyDescent="0.2">
      <c r="A33" s="79" t="s">
        <v>85</v>
      </c>
      <c r="B33" s="68">
        <f t="shared" ref="B33:N33" si="55">+(B25-B29)/B29</f>
        <v>-9.5061213847117534E-2</v>
      </c>
      <c r="C33" s="59">
        <f t="shared" si="55"/>
        <v>-0.11203336120891329</v>
      </c>
      <c r="D33" s="59">
        <f t="shared" si="55"/>
        <v>8.1396093227732627E-2</v>
      </c>
      <c r="E33" s="59">
        <f t="shared" si="55"/>
        <v>8.7036158549441259E-2</v>
      </c>
      <c r="F33" s="59">
        <f t="shared" si="55"/>
        <v>3.7344038835421936E-2</v>
      </c>
      <c r="G33" s="59">
        <f t="shared" si="55"/>
        <v>8.6181380313227529E-2</v>
      </c>
      <c r="H33" s="59">
        <f t="shared" si="55"/>
        <v>-2.6505550236493747E-2</v>
      </c>
      <c r="I33" s="59">
        <f t="shared" si="55"/>
        <v>2.6297720336971261E-3</v>
      </c>
      <c r="J33" s="59">
        <f t="shared" si="55"/>
        <v>-4.5222766403168538E-2</v>
      </c>
      <c r="K33" s="59">
        <f t="shared" si="55"/>
        <v>3.1430147045615482E-2</v>
      </c>
      <c r="L33" s="59">
        <f t="shared" si="55"/>
        <v>5.0739361291725474E-2</v>
      </c>
      <c r="M33" s="59">
        <f t="shared" si="55"/>
        <v>0.14878685793115684</v>
      </c>
      <c r="N33" s="59">
        <f t="shared" si="55"/>
        <v>1.7969914487804009E-2</v>
      </c>
      <c r="O33" s="229"/>
      <c r="P33" s="80"/>
      <c r="Q33" s="80"/>
      <c r="R33" s="80"/>
      <c r="S33" s="80"/>
      <c r="T33" s="246"/>
      <c r="U33" s="82"/>
      <c r="V33" s="61">
        <f t="shared" ref="V33:AA33" si="56">+V8/325872</f>
        <v>0</v>
      </c>
      <c r="W33" s="61">
        <f t="shared" si="56"/>
        <v>71.126086316099574</v>
      </c>
      <c r="X33" s="61">
        <f t="shared" si="56"/>
        <v>8.8171122403888642</v>
      </c>
      <c r="Y33" s="61">
        <f t="shared" si="56"/>
        <v>0</v>
      </c>
      <c r="Z33" s="61">
        <f t="shared" si="56"/>
        <v>0</v>
      </c>
      <c r="AA33" s="61">
        <f t="shared" si="56"/>
        <v>79.94319855648844</v>
      </c>
      <c r="AC33" s="233"/>
      <c r="AF33" s="84"/>
      <c r="AG33" s="85"/>
      <c r="AH33" s="85"/>
      <c r="AI33" s="85"/>
      <c r="AJ33" s="85"/>
      <c r="AK33" s="85"/>
      <c r="AL33" s="85"/>
      <c r="AM33" s="85"/>
      <c r="AN33" s="85"/>
      <c r="AO33" s="85"/>
      <c r="AP33" s="85"/>
      <c r="AQ33" s="85"/>
      <c r="AR33" s="85"/>
      <c r="AS33" s="85"/>
      <c r="AT33" s="85"/>
      <c r="AU33" s="85"/>
      <c r="AV33" s="85"/>
      <c r="AW33" s="85"/>
      <c r="AX33" s="85"/>
      <c r="AY33" s="85"/>
      <c r="BF33" s="227"/>
      <c r="BG33" s="227"/>
    </row>
    <row r="34" spans="1:59" s="83" customFormat="1" x14ac:dyDescent="0.2">
      <c r="A34" s="79"/>
      <c r="B34" s="80"/>
      <c r="C34" s="80"/>
      <c r="D34" s="80"/>
      <c r="E34" s="80"/>
      <c r="F34" s="80"/>
      <c r="G34" s="80"/>
      <c r="H34" s="80"/>
      <c r="I34" s="80"/>
      <c r="J34" s="80"/>
      <c r="K34" s="80"/>
      <c r="L34" s="80"/>
      <c r="M34" s="80"/>
      <c r="N34" s="80"/>
      <c r="O34" s="67"/>
      <c r="P34" s="80"/>
      <c r="Q34" s="80"/>
      <c r="R34" s="80"/>
      <c r="S34" s="227"/>
      <c r="T34" s="80"/>
      <c r="U34" s="82"/>
      <c r="V34" s="65">
        <f>+V33/AA33</f>
        <v>0</v>
      </c>
      <c r="W34" s="65">
        <f>+W33/AA33</f>
        <v>0.88970778753418744</v>
      </c>
      <c r="X34" s="65">
        <f>+X33/AA33</f>
        <v>0.11029221246581257</v>
      </c>
      <c r="Y34" s="65"/>
      <c r="Z34" s="65">
        <f>+Z33/AA33</f>
        <v>0</v>
      </c>
      <c r="AC34" s="231"/>
      <c r="AD34" s="64"/>
      <c r="AF34" s="84"/>
      <c r="AG34" s="85"/>
      <c r="AH34" s="85"/>
      <c r="AI34" s="85"/>
      <c r="AJ34" s="85"/>
      <c r="AK34" s="85"/>
      <c r="AL34" s="85"/>
      <c r="AM34" s="85"/>
      <c r="AN34" s="85"/>
      <c r="AO34" s="85"/>
      <c r="AP34" s="85"/>
      <c r="AQ34" s="85"/>
      <c r="AR34" s="85"/>
      <c r="AS34" s="85"/>
      <c r="AT34" s="85"/>
      <c r="AU34" s="85"/>
      <c r="AV34" s="85"/>
      <c r="AW34" s="85"/>
      <c r="AX34" s="85"/>
      <c r="AY34" s="85"/>
      <c r="BF34" s="227"/>
      <c r="BG34" s="227"/>
    </row>
    <row r="35" spans="1:59" s="83" customFormat="1" x14ac:dyDescent="0.2">
      <c r="A35" s="79"/>
      <c r="B35" s="80"/>
      <c r="C35" s="81"/>
      <c r="D35" s="81"/>
      <c r="E35" s="81"/>
      <c r="F35" s="81"/>
      <c r="G35" s="81"/>
      <c r="H35" s="81"/>
      <c r="I35" s="80"/>
      <c r="J35" s="80"/>
      <c r="K35" s="80"/>
      <c r="L35" s="80"/>
      <c r="M35" s="80"/>
      <c r="N35" s="80"/>
      <c r="O35" s="80"/>
      <c r="P35" s="80"/>
      <c r="Q35" s="80"/>
      <c r="R35" s="80"/>
      <c r="S35" s="227"/>
      <c r="T35" s="80"/>
      <c r="U35" s="82"/>
      <c r="AF35" s="84"/>
      <c r="AG35" s="85"/>
      <c r="AH35" s="85"/>
      <c r="AI35" s="85"/>
      <c r="AJ35" s="85"/>
      <c r="AK35" s="85"/>
      <c r="AL35" s="85"/>
      <c r="AM35" s="85"/>
      <c r="AN35" s="85"/>
      <c r="AO35" s="85"/>
      <c r="AP35" s="85"/>
      <c r="AQ35" s="85"/>
      <c r="AR35" s="85"/>
      <c r="AS35" s="85"/>
      <c r="AT35" s="85"/>
      <c r="AU35" s="85"/>
      <c r="AV35" s="85"/>
      <c r="AW35" s="85"/>
      <c r="AX35" s="85"/>
      <c r="AY35" s="85"/>
    </row>
    <row r="36" spans="1:59" s="83" customFormat="1" x14ac:dyDescent="0.2">
      <c r="A36" s="79"/>
      <c r="B36" s="239">
        <v>41275</v>
      </c>
      <c r="C36" s="239">
        <f t="shared" ref="C36:M36" si="57">31+B36</f>
        <v>41306</v>
      </c>
      <c r="D36" s="239">
        <f t="shared" si="57"/>
        <v>41337</v>
      </c>
      <c r="E36" s="239">
        <f t="shared" si="57"/>
        <v>41368</v>
      </c>
      <c r="F36" s="239">
        <f t="shared" si="57"/>
        <v>41399</v>
      </c>
      <c r="G36" s="239">
        <f t="shared" si="57"/>
        <v>41430</v>
      </c>
      <c r="H36" s="239">
        <f t="shared" si="57"/>
        <v>41461</v>
      </c>
      <c r="I36" s="239">
        <f t="shared" si="57"/>
        <v>41492</v>
      </c>
      <c r="J36" s="239">
        <f t="shared" si="57"/>
        <v>41523</v>
      </c>
      <c r="K36" s="239">
        <f t="shared" si="57"/>
        <v>41554</v>
      </c>
      <c r="L36" s="239">
        <f t="shared" si="57"/>
        <v>41585</v>
      </c>
      <c r="M36" s="239">
        <f t="shared" si="57"/>
        <v>41616</v>
      </c>
      <c r="N36" s="80"/>
      <c r="O36" s="80"/>
      <c r="P36" s="80"/>
      <c r="Q36" s="80"/>
      <c r="R36" s="80"/>
      <c r="S36" s="80"/>
      <c r="T36" s="80"/>
      <c r="U36" s="82"/>
      <c r="Z36" s="250"/>
      <c r="AF36" s="84"/>
      <c r="AG36" s="85"/>
      <c r="AH36" s="85"/>
      <c r="AI36" s="85"/>
      <c r="AJ36" s="85"/>
      <c r="AK36" s="85"/>
      <c r="AL36" s="85"/>
      <c r="AM36" s="85"/>
      <c r="AN36" s="85"/>
      <c r="AO36" s="85"/>
      <c r="AP36" s="85"/>
      <c r="AQ36" s="85"/>
      <c r="AR36" s="85"/>
      <c r="AS36" s="85"/>
      <c r="AT36" s="85"/>
      <c r="AU36" s="85"/>
      <c r="AV36" s="85"/>
      <c r="AW36" s="85"/>
      <c r="AX36" s="85"/>
      <c r="AY36" s="85"/>
    </row>
    <row r="37" spans="1:59" s="83" customFormat="1" x14ac:dyDescent="0.2">
      <c r="A37" s="79"/>
      <c r="B37" s="303">
        <v>228.23531938920803</v>
      </c>
      <c r="C37" s="303">
        <v>216.66850788039477</v>
      </c>
      <c r="D37" s="303">
        <v>266.53164432660674</v>
      </c>
      <c r="E37" s="303">
        <v>239.11474443953455</v>
      </c>
      <c r="F37" s="303">
        <v>255.12072224677175</v>
      </c>
      <c r="G37" s="303">
        <v>239.5771959542397</v>
      </c>
      <c r="H37" s="303">
        <v>245.23831443020572</v>
      </c>
      <c r="I37" s="303">
        <v>228.25066283694213</v>
      </c>
      <c r="J37" s="303">
        <v>211.69762974419405</v>
      </c>
      <c r="K37" s="303">
        <v>201.95513575882555</v>
      </c>
      <c r="L37" s="303">
        <v>172.41666666666666</v>
      </c>
      <c r="M37" s="303">
        <v>198.65253841999314</v>
      </c>
      <c r="N37" s="80"/>
      <c r="O37" s="80"/>
      <c r="P37" s="80"/>
      <c r="Q37" s="80"/>
      <c r="R37" s="80"/>
      <c r="S37" s="80"/>
      <c r="T37" s="80"/>
      <c r="U37" s="82"/>
      <c r="AF37" s="84"/>
      <c r="AG37" s="85"/>
      <c r="AH37" s="85"/>
      <c r="AI37" s="85"/>
      <c r="AJ37" s="85"/>
      <c r="AK37" s="85"/>
      <c r="AL37" s="85"/>
      <c r="AM37" s="85"/>
      <c r="AN37" s="85"/>
      <c r="AO37" s="85"/>
      <c r="AP37" s="85"/>
      <c r="AQ37" s="85"/>
      <c r="AR37" s="85"/>
      <c r="AS37" s="85"/>
      <c r="AT37" s="85"/>
      <c r="AU37" s="85"/>
      <c r="AV37" s="85"/>
      <c r="AW37" s="85"/>
      <c r="AX37" s="85"/>
      <c r="AY37" s="85"/>
    </row>
    <row r="38" spans="1:59" s="83" customFormat="1" x14ac:dyDescent="0.2">
      <c r="A38" s="79"/>
      <c r="B38" s="303">
        <v>4.8725880100162025</v>
      </c>
      <c r="C38" s="303">
        <v>4.4554917268129817</v>
      </c>
      <c r="D38" s="303">
        <v>4.9788874159179066</v>
      </c>
      <c r="E38" s="303">
        <v>5.2427947169440765</v>
      </c>
      <c r="F38" s="303">
        <v>5.3900918151912407</v>
      </c>
      <c r="G38" s="303">
        <v>5.1530048608042422</v>
      </c>
      <c r="H38" s="303">
        <v>5.2407080080522412</v>
      </c>
      <c r="I38" s="303">
        <v>5.2100211125840818</v>
      </c>
      <c r="J38" s="303">
        <v>5.0258997397751264</v>
      </c>
      <c r="K38" s="303">
        <v>5.0535179456964698</v>
      </c>
      <c r="L38" s="303">
        <v>4.8202975401384593</v>
      </c>
      <c r="M38" s="303">
        <v>4.8970147788088578</v>
      </c>
      <c r="N38" s="80"/>
      <c r="O38" s="80"/>
      <c r="P38" s="80"/>
      <c r="Q38" s="80"/>
      <c r="R38" s="80"/>
      <c r="S38" s="80"/>
      <c r="T38" s="80"/>
      <c r="U38" s="82"/>
      <c r="AF38" s="84"/>
      <c r="AG38" s="85"/>
      <c r="AH38" s="85"/>
      <c r="AI38" s="85"/>
      <c r="AJ38" s="85"/>
      <c r="AK38" s="85"/>
      <c r="AL38" s="85"/>
      <c r="AM38" s="85"/>
      <c r="AN38" s="85"/>
      <c r="AO38" s="85"/>
      <c r="AP38" s="85"/>
      <c r="AQ38" s="85"/>
      <c r="AR38" s="85"/>
      <c r="AS38" s="85"/>
      <c r="AT38" s="85"/>
      <c r="AU38" s="85"/>
      <c r="AV38" s="85"/>
      <c r="AW38" s="85"/>
      <c r="AX38" s="85"/>
      <c r="AY38" s="85"/>
    </row>
    <row r="39" spans="1:59" s="83" customFormat="1" x14ac:dyDescent="0.2">
      <c r="A39" s="79"/>
      <c r="B39" s="303">
        <v>325872</v>
      </c>
      <c r="C39" s="262"/>
      <c r="D39" s="262"/>
      <c r="E39" s="262"/>
      <c r="F39" s="262"/>
      <c r="G39" s="262"/>
      <c r="H39" s="262"/>
      <c r="I39" s="303"/>
      <c r="J39" s="303"/>
      <c r="K39" s="303"/>
      <c r="L39" s="303"/>
      <c r="M39" s="303"/>
      <c r="N39" s="80"/>
      <c r="O39" s="80"/>
      <c r="P39" s="80"/>
      <c r="Q39" s="80"/>
      <c r="R39" s="80"/>
      <c r="S39" s="80"/>
      <c r="T39" s="80"/>
      <c r="U39" s="82"/>
      <c r="AF39" s="84"/>
      <c r="AG39" s="85"/>
      <c r="AH39" s="85"/>
      <c r="AI39" s="85"/>
      <c r="AJ39" s="85"/>
      <c r="AK39" s="85"/>
      <c r="AL39" s="85"/>
      <c r="AM39" s="85"/>
      <c r="AN39" s="85"/>
      <c r="AO39" s="85"/>
      <c r="AP39" s="85"/>
      <c r="AQ39" s="85"/>
      <c r="AR39" s="85"/>
      <c r="AS39" s="85"/>
      <c r="AT39" s="85"/>
      <c r="AU39" s="85"/>
      <c r="AV39" s="85"/>
      <c r="AW39" s="85"/>
      <c r="AX39" s="85"/>
      <c r="AY39" s="85"/>
    </row>
    <row r="40" spans="1:59" s="83" customFormat="1" x14ac:dyDescent="0.2">
      <c r="A40" s="79"/>
      <c r="B40" s="303"/>
      <c r="C40" s="262"/>
      <c r="D40" s="262"/>
      <c r="E40" s="262"/>
      <c r="F40" s="262"/>
      <c r="G40" s="262"/>
      <c r="H40" s="262"/>
      <c r="I40" s="75"/>
      <c r="J40" s="303"/>
      <c r="K40" s="303"/>
      <c r="L40" s="303"/>
      <c r="M40" s="303"/>
      <c r="N40" s="80"/>
      <c r="O40" s="80"/>
      <c r="P40" s="80"/>
      <c r="Q40" s="80"/>
      <c r="R40" s="80"/>
      <c r="S40" s="80"/>
      <c r="T40" s="80"/>
      <c r="U40" s="82"/>
      <c r="AF40" s="84"/>
      <c r="AG40" s="85"/>
      <c r="AH40" s="85"/>
      <c r="AI40" s="85"/>
      <c r="AJ40" s="85"/>
      <c r="AK40" s="85"/>
      <c r="AL40" s="85"/>
      <c r="AM40" s="85"/>
      <c r="AN40" s="85"/>
      <c r="AO40" s="85"/>
      <c r="AP40" s="85"/>
      <c r="AQ40" s="85"/>
      <c r="AR40" s="85"/>
      <c r="AS40" s="85"/>
      <c r="AT40" s="85"/>
      <c r="AU40" s="85"/>
      <c r="AV40" s="85"/>
      <c r="AW40" s="85"/>
      <c r="AX40" s="85"/>
      <c r="AY40" s="85"/>
    </row>
    <row r="41" spans="1:59" s="83" customFormat="1" x14ac:dyDescent="0.2">
      <c r="A41" s="79"/>
      <c r="B41" s="80"/>
      <c r="C41" s="81"/>
      <c r="D41" s="81"/>
      <c r="E41" s="81"/>
      <c r="F41" s="81"/>
      <c r="G41" s="81"/>
      <c r="H41" s="81"/>
      <c r="I41" s="80"/>
      <c r="J41" s="80"/>
      <c r="K41" s="80"/>
      <c r="L41" s="80"/>
      <c r="M41" s="80"/>
      <c r="N41" s="80"/>
      <c r="O41" s="80"/>
      <c r="P41" s="80"/>
      <c r="Q41" s="80"/>
      <c r="R41" s="80"/>
      <c r="S41" s="80"/>
      <c r="T41" s="80"/>
      <c r="U41" s="82"/>
      <c r="AF41" s="84"/>
      <c r="AG41" s="85"/>
      <c r="AH41" s="85"/>
      <c r="AI41" s="85"/>
      <c r="AJ41" s="85"/>
      <c r="AK41" s="85"/>
      <c r="AL41" s="85"/>
      <c r="AM41" s="85"/>
      <c r="AN41" s="85"/>
      <c r="AO41" s="85"/>
      <c r="AP41" s="85"/>
      <c r="AQ41" s="85"/>
      <c r="AR41" s="85"/>
      <c r="AS41" s="85"/>
      <c r="AT41" s="85"/>
      <c r="AU41" s="85"/>
      <c r="AV41" s="85"/>
      <c r="AW41" s="85"/>
      <c r="AX41" s="85"/>
      <c r="AY41" s="85"/>
    </row>
    <row r="42" spans="1:59" s="83" customFormat="1" x14ac:dyDescent="0.2">
      <c r="A42" s="263"/>
      <c r="B42" s="81"/>
      <c r="C42" s="81"/>
      <c r="D42" s="81"/>
      <c r="E42" s="81"/>
      <c r="F42" s="81"/>
      <c r="G42" s="81"/>
      <c r="H42" s="81"/>
      <c r="I42" s="81"/>
      <c r="J42" s="81"/>
      <c r="K42" s="81"/>
      <c r="L42" s="81"/>
      <c r="M42" s="81"/>
      <c r="N42" s="81"/>
      <c r="O42" s="80"/>
      <c r="P42" s="80"/>
      <c r="Q42" s="80"/>
      <c r="R42" s="80"/>
      <c r="S42" s="80"/>
      <c r="T42" s="80"/>
      <c r="U42" s="82"/>
      <c r="AF42" s="84"/>
      <c r="AG42" s="85"/>
      <c r="AH42" s="85"/>
      <c r="AI42" s="85"/>
      <c r="AJ42" s="85"/>
      <c r="AK42" s="85"/>
      <c r="AL42" s="85"/>
      <c r="AM42" s="85"/>
      <c r="AN42" s="85"/>
      <c r="AO42" s="85"/>
      <c r="AP42" s="85"/>
      <c r="AQ42" s="85"/>
      <c r="AR42" s="85"/>
      <c r="AS42" s="85"/>
      <c r="AT42" s="85"/>
      <c r="AU42" s="85"/>
      <c r="AV42" s="85"/>
      <c r="AW42" s="85"/>
      <c r="AX42" s="85"/>
      <c r="AY42" s="85"/>
    </row>
    <row r="43" spans="1:59" s="83" customFormat="1" x14ac:dyDescent="0.2">
      <c r="A43" s="263"/>
      <c r="B43" s="81"/>
      <c r="C43" s="81"/>
      <c r="D43" s="81"/>
      <c r="E43" s="81"/>
      <c r="F43" s="81"/>
      <c r="G43" s="81"/>
      <c r="H43" s="81"/>
      <c r="I43" s="81"/>
      <c r="J43" s="81"/>
      <c r="K43" s="81"/>
      <c r="L43" s="81"/>
      <c r="M43" s="81"/>
      <c r="N43" s="81"/>
      <c r="O43" s="111"/>
      <c r="P43" s="80"/>
      <c r="Q43" s="80"/>
      <c r="R43" s="80"/>
      <c r="S43" s="80"/>
      <c r="T43" s="80"/>
      <c r="U43" s="82"/>
      <c r="AF43" s="84"/>
      <c r="AG43" s="85"/>
      <c r="AH43" s="85"/>
      <c r="AI43" s="85"/>
      <c r="AJ43" s="85"/>
      <c r="AK43" s="85"/>
      <c r="AL43" s="85"/>
      <c r="AM43" s="85"/>
      <c r="AN43" s="85"/>
      <c r="AO43" s="85"/>
      <c r="AP43" s="85"/>
      <c r="AQ43" s="85"/>
      <c r="AR43" s="85"/>
      <c r="AS43" s="85"/>
      <c r="AT43" s="85"/>
      <c r="AU43" s="85"/>
      <c r="AV43" s="85"/>
      <c r="AW43" s="85"/>
      <c r="AX43" s="85"/>
      <c r="AY43" s="85"/>
    </row>
    <row r="44" spans="1:59" s="83" customFormat="1" x14ac:dyDescent="0.2">
      <c r="A44" s="263"/>
      <c r="B44" s="264"/>
      <c r="C44" s="264"/>
      <c r="D44" s="264"/>
      <c r="E44" s="264"/>
      <c r="F44" s="264"/>
      <c r="G44" s="264"/>
      <c r="H44" s="264"/>
      <c r="I44" s="264"/>
      <c r="J44" s="264"/>
      <c r="K44" s="264"/>
      <c r="L44" s="264"/>
      <c r="M44" s="264"/>
      <c r="N44" s="264"/>
      <c r="O44" s="265"/>
      <c r="P44" s="80"/>
      <c r="Q44" s="80"/>
      <c r="R44" s="80"/>
      <c r="S44" s="80"/>
      <c r="T44" s="80"/>
      <c r="U44" s="82"/>
      <c r="AF44" s="84"/>
      <c r="AG44" s="85"/>
      <c r="AH44" s="85"/>
      <c r="AI44" s="85"/>
      <c r="AJ44" s="85"/>
      <c r="AK44" s="85"/>
      <c r="AL44" s="85"/>
      <c r="AM44" s="85"/>
      <c r="AN44" s="85"/>
      <c r="AO44" s="85"/>
      <c r="AP44" s="85"/>
      <c r="AQ44" s="85"/>
      <c r="AR44" s="85"/>
      <c r="AS44" s="85"/>
      <c r="AT44" s="85"/>
      <c r="AU44" s="85"/>
      <c r="AV44" s="85"/>
      <c r="AW44" s="85"/>
      <c r="AX44" s="85"/>
      <c r="AY44" s="85"/>
    </row>
    <row r="45" spans="1:59" s="83" customFormat="1" x14ac:dyDescent="0.2">
      <c r="A45" s="263"/>
      <c r="B45" s="264"/>
      <c r="C45" s="264"/>
      <c r="D45" s="264"/>
      <c r="E45" s="264"/>
      <c r="F45" s="264"/>
      <c r="G45" s="264"/>
      <c r="H45" s="264"/>
      <c r="I45" s="264"/>
      <c r="J45" s="264"/>
      <c r="K45" s="264"/>
      <c r="L45" s="264"/>
      <c r="M45" s="264"/>
      <c r="N45" s="264"/>
      <c r="O45" s="265"/>
      <c r="P45" s="80"/>
      <c r="Q45" s="80"/>
      <c r="R45" s="80"/>
      <c r="S45" s="80"/>
      <c r="T45" s="80"/>
      <c r="U45" s="82"/>
      <c r="AF45" s="84"/>
      <c r="AG45" s="85"/>
      <c r="AH45" s="85"/>
      <c r="AI45" s="85"/>
      <c r="AJ45" s="85"/>
      <c r="AK45" s="85"/>
      <c r="AL45" s="85"/>
      <c r="AM45" s="85"/>
      <c r="AN45" s="85"/>
      <c r="AO45" s="85"/>
      <c r="AP45" s="85"/>
      <c r="AQ45" s="85"/>
      <c r="AR45" s="85"/>
      <c r="AS45" s="85"/>
      <c r="AT45" s="85"/>
      <c r="AU45" s="85"/>
      <c r="AV45" s="85"/>
      <c r="AW45" s="85"/>
      <c r="AX45" s="85"/>
      <c r="AY45" s="85"/>
    </row>
    <row r="46" spans="1:59" s="83" customFormat="1" x14ac:dyDescent="0.2">
      <c r="A46" s="263"/>
      <c r="B46" s="264"/>
      <c r="C46" s="264"/>
      <c r="D46" s="264"/>
      <c r="E46" s="264"/>
      <c r="F46" s="264"/>
      <c r="G46" s="264"/>
      <c r="H46" s="264"/>
      <c r="I46" s="264"/>
      <c r="J46" s="264"/>
      <c r="K46" s="264"/>
      <c r="L46" s="264"/>
      <c r="M46" s="264"/>
      <c r="N46" s="264"/>
      <c r="O46" s="265"/>
      <c r="P46" s="80"/>
      <c r="Q46" s="80"/>
      <c r="R46" s="80"/>
      <c r="S46" s="80"/>
      <c r="T46" s="80"/>
      <c r="U46" s="82"/>
      <c r="AF46" s="84"/>
      <c r="AG46" s="85"/>
      <c r="AH46" s="85"/>
      <c r="AI46" s="85"/>
      <c r="AJ46" s="85"/>
      <c r="AK46" s="85"/>
      <c r="AL46" s="85"/>
      <c r="AM46" s="85"/>
      <c r="AN46" s="85"/>
      <c r="AO46" s="85"/>
      <c r="AP46" s="85"/>
      <c r="AQ46" s="85"/>
      <c r="AR46" s="85"/>
      <c r="AS46" s="85"/>
      <c r="AT46" s="85"/>
      <c r="AU46" s="85"/>
      <c r="AV46" s="85"/>
      <c r="AW46" s="85"/>
      <c r="AX46" s="85"/>
      <c r="AY46" s="85"/>
    </row>
    <row r="47" spans="1:59" s="83" customFormat="1" x14ac:dyDescent="0.2">
      <c r="A47" s="263"/>
      <c r="B47" s="264"/>
      <c r="C47" s="264"/>
      <c r="D47" s="264"/>
      <c r="E47" s="264"/>
      <c r="F47" s="264"/>
      <c r="G47" s="264"/>
      <c r="H47" s="264"/>
      <c r="I47" s="264"/>
      <c r="J47" s="264"/>
      <c r="K47" s="264"/>
      <c r="L47" s="264"/>
      <c r="M47" s="264"/>
      <c r="N47" s="264"/>
      <c r="O47" s="265"/>
      <c r="P47" s="80"/>
      <c r="Q47" s="80"/>
      <c r="R47" s="80"/>
      <c r="S47" s="80"/>
      <c r="T47" s="80"/>
      <c r="U47" s="82"/>
      <c r="AF47" s="84"/>
      <c r="AG47" s="85"/>
      <c r="AH47" s="85"/>
      <c r="AI47" s="85"/>
      <c r="AJ47" s="85"/>
      <c r="AK47" s="85"/>
      <c r="AL47" s="85"/>
      <c r="AM47" s="85"/>
      <c r="AN47" s="85"/>
      <c r="AO47" s="85"/>
      <c r="AP47" s="85"/>
      <c r="AQ47" s="85"/>
      <c r="AR47" s="85"/>
      <c r="AS47" s="85"/>
      <c r="AT47" s="85"/>
      <c r="AU47" s="85"/>
      <c r="AV47" s="85"/>
      <c r="AW47" s="85"/>
      <c r="AX47" s="85"/>
      <c r="AY47" s="85"/>
    </row>
    <row r="48" spans="1:59" s="83" customFormat="1" x14ac:dyDescent="0.2">
      <c r="A48" s="263"/>
      <c r="B48" s="264"/>
      <c r="C48" s="264"/>
      <c r="D48" s="264"/>
      <c r="E48" s="264"/>
      <c r="F48" s="264"/>
      <c r="G48" s="264"/>
      <c r="H48" s="264"/>
      <c r="I48" s="264"/>
      <c r="J48" s="264"/>
      <c r="K48" s="264"/>
      <c r="L48" s="264"/>
      <c r="M48" s="264"/>
      <c r="N48" s="264"/>
      <c r="O48" s="265"/>
      <c r="P48" s="80"/>
      <c r="Q48" s="80"/>
      <c r="R48" s="80"/>
      <c r="S48" s="80"/>
      <c r="T48" s="80"/>
      <c r="U48" s="82"/>
      <c r="AF48" s="84"/>
      <c r="AG48" s="85"/>
      <c r="AH48" s="85"/>
      <c r="AI48" s="85"/>
      <c r="AJ48" s="85"/>
      <c r="AK48" s="85"/>
      <c r="AL48" s="85"/>
      <c r="AM48" s="85"/>
      <c r="AN48" s="85"/>
      <c r="AO48" s="85"/>
      <c r="AP48" s="85"/>
      <c r="AQ48" s="85"/>
      <c r="AR48" s="85"/>
      <c r="AS48" s="85"/>
      <c r="AT48" s="85"/>
      <c r="AU48" s="85"/>
      <c r="AV48" s="85"/>
      <c r="AW48" s="85"/>
      <c r="AX48" s="85"/>
      <c r="AY48" s="85"/>
    </row>
    <row r="49" spans="1:78" x14ac:dyDescent="0.2">
      <c r="A49" s="263"/>
      <c r="B49" s="264"/>
      <c r="C49" s="264"/>
      <c r="D49" s="264"/>
      <c r="E49" s="264"/>
      <c r="F49" s="264"/>
      <c r="G49" s="264"/>
      <c r="H49" s="264"/>
      <c r="I49" s="264"/>
      <c r="J49" s="264"/>
      <c r="K49" s="264"/>
      <c r="L49" s="264"/>
      <c r="M49" s="264"/>
      <c r="N49" s="264"/>
      <c r="O49" s="265"/>
    </row>
    <row r="50" spans="1:78" x14ac:dyDescent="0.2">
      <c r="A50" s="263"/>
      <c r="B50" s="264"/>
      <c r="C50" s="264"/>
      <c r="D50" s="264"/>
      <c r="E50" s="264"/>
      <c r="F50" s="264"/>
      <c r="G50" s="264"/>
      <c r="H50" s="264"/>
      <c r="I50" s="264"/>
      <c r="J50" s="264"/>
      <c r="K50" s="264"/>
      <c r="L50" s="264"/>
      <c r="M50" s="264"/>
      <c r="N50" s="264"/>
      <c r="O50" s="265"/>
    </row>
    <row r="51" spans="1:78" x14ac:dyDescent="0.2">
      <c r="A51" s="263"/>
      <c r="B51" s="264"/>
      <c r="C51" s="264"/>
      <c r="D51" s="264"/>
      <c r="E51" s="264"/>
      <c r="F51" s="264"/>
      <c r="G51" s="264"/>
      <c r="H51" s="264"/>
      <c r="I51" s="264"/>
      <c r="J51" s="264"/>
      <c r="K51" s="264"/>
      <c r="L51" s="264"/>
      <c r="M51" s="264"/>
      <c r="N51" s="264"/>
      <c r="O51" s="265"/>
    </row>
    <row r="52" spans="1:78" x14ac:dyDescent="0.2">
      <c r="A52" s="263"/>
      <c r="B52" s="264"/>
      <c r="C52" s="264"/>
      <c r="D52" s="264"/>
      <c r="E52" s="264"/>
      <c r="F52" s="264"/>
      <c r="G52" s="264"/>
      <c r="H52" s="264"/>
      <c r="I52" s="264"/>
      <c r="J52" s="264"/>
      <c r="K52" s="264"/>
      <c r="L52" s="264"/>
      <c r="M52" s="264"/>
      <c r="N52" s="264"/>
      <c r="O52" s="265"/>
    </row>
    <row r="53" spans="1:78" x14ac:dyDescent="0.2">
      <c r="A53" s="263"/>
      <c r="B53" s="264"/>
      <c r="C53" s="264"/>
      <c r="D53" s="264"/>
      <c r="E53" s="264"/>
      <c r="F53" s="264"/>
      <c r="G53" s="264"/>
      <c r="H53" s="264"/>
      <c r="I53" s="264"/>
      <c r="J53" s="264"/>
      <c r="K53" s="264"/>
      <c r="L53" s="264"/>
      <c r="M53" s="264"/>
      <c r="N53" s="264"/>
      <c r="O53" s="265"/>
    </row>
    <row r="54" spans="1:78" x14ac:dyDescent="0.2">
      <c r="A54" s="263"/>
      <c r="B54" s="264"/>
      <c r="C54" s="264"/>
      <c r="D54" s="264"/>
      <c r="E54" s="264"/>
      <c r="F54" s="264"/>
      <c r="G54" s="264"/>
      <c r="H54" s="264"/>
      <c r="I54" s="264"/>
      <c r="J54" s="264"/>
      <c r="K54" s="264"/>
      <c r="L54" s="264"/>
      <c r="M54" s="264"/>
      <c r="N54" s="264"/>
      <c r="O54" s="265"/>
    </row>
    <row r="55" spans="1:78" x14ac:dyDescent="0.2">
      <c r="A55" s="263"/>
      <c r="B55" s="266"/>
      <c r="C55" s="266"/>
      <c r="D55" s="266"/>
      <c r="E55" s="266"/>
      <c r="F55" s="266"/>
      <c r="G55" s="266"/>
      <c r="H55" s="266"/>
      <c r="I55" s="266"/>
      <c r="J55" s="266"/>
      <c r="K55" s="266"/>
      <c r="L55" s="266"/>
      <c r="M55" s="266"/>
      <c r="N55" s="266"/>
      <c r="O55" s="265"/>
    </row>
    <row r="56" spans="1:78" s="256" customFormat="1" x14ac:dyDescent="0.2">
      <c r="A56" s="264"/>
      <c r="B56" s="264"/>
      <c r="C56" s="264"/>
      <c r="D56" s="264"/>
      <c r="E56" s="264"/>
      <c r="F56" s="264"/>
      <c r="G56" s="264"/>
      <c r="H56" s="264"/>
      <c r="I56" s="264"/>
      <c r="J56" s="264"/>
      <c r="K56" s="264"/>
      <c r="L56" s="264"/>
      <c r="M56" s="264"/>
      <c r="N56" s="264"/>
      <c r="O56" s="265"/>
      <c r="P56" s="265"/>
      <c r="Q56" s="265"/>
      <c r="R56" s="265"/>
      <c r="S56" s="265"/>
      <c r="T56" s="265"/>
      <c r="U56" s="265"/>
      <c r="AF56" s="267"/>
      <c r="AG56" s="268"/>
      <c r="AH56" s="268"/>
      <c r="AI56" s="268"/>
      <c r="AJ56" s="268"/>
      <c r="AK56" s="268"/>
      <c r="AL56" s="268"/>
      <c r="AM56" s="268"/>
      <c r="AN56" s="268"/>
      <c r="AO56" s="268"/>
      <c r="AP56" s="268"/>
      <c r="AQ56" s="268"/>
      <c r="AR56" s="268"/>
      <c r="AS56" s="268"/>
      <c r="AT56" s="268"/>
      <c r="AU56" s="268"/>
      <c r="AV56" s="268"/>
      <c r="AW56" s="268"/>
      <c r="AX56" s="268"/>
      <c r="AY56" s="268"/>
      <c r="BU56" s="265"/>
      <c r="BV56" s="265"/>
      <c r="BW56" s="265"/>
      <c r="BX56" s="265"/>
      <c r="BY56" s="265"/>
      <c r="BZ56" s="265"/>
    </row>
    <row r="57" spans="1:78" x14ac:dyDescent="0.2">
      <c r="A57" s="263"/>
      <c r="B57" s="269"/>
      <c r="C57" s="269"/>
      <c r="D57" s="269"/>
      <c r="E57" s="269"/>
      <c r="F57" s="269"/>
      <c r="G57" s="269"/>
      <c r="H57" s="269"/>
      <c r="I57" s="269"/>
      <c r="J57" s="269"/>
      <c r="K57" s="269"/>
      <c r="L57" s="269"/>
      <c r="M57" s="269"/>
      <c r="N57" s="269"/>
    </row>
    <row r="58" spans="1:78" x14ac:dyDescent="0.2">
      <c r="A58" s="263"/>
      <c r="B58" s="63"/>
      <c r="C58" s="63"/>
      <c r="D58" s="63"/>
      <c r="E58" s="63"/>
      <c r="F58" s="63"/>
      <c r="G58" s="63"/>
      <c r="H58" s="63"/>
      <c r="I58" s="63"/>
      <c r="J58" s="63"/>
      <c r="K58" s="63"/>
      <c r="L58" s="63"/>
      <c r="M58" s="63"/>
      <c r="N58" s="63"/>
    </row>
    <row r="59" spans="1:78" x14ac:dyDescent="0.2">
      <c r="C59" s="81"/>
      <c r="D59" s="81"/>
      <c r="E59" s="81"/>
      <c r="F59" s="81"/>
      <c r="G59" s="81"/>
      <c r="H59" s="81"/>
    </row>
    <row r="60" spans="1:78" x14ac:dyDescent="0.2">
      <c r="C60" s="81"/>
      <c r="D60" s="81"/>
      <c r="E60" s="81"/>
      <c r="F60" s="81"/>
      <c r="G60" s="81"/>
      <c r="H60" s="81"/>
    </row>
    <row r="61" spans="1:78" x14ac:dyDescent="0.2">
      <c r="C61" s="81"/>
      <c r="D61" s="81"/>
      <c r="E61" s="81"/>
      <c r="F61" s="81"/>
      <c r="G61" s="81"/>
      <c r="H61" s="81"/>
    </row>
    <row r="62" spans="1:78" x14ac:dyDescent="0.2">
      <c r="C62" s="81"/>
      <c r="D62" s="81"/>
      <c r="E62" s="81"/>
      <c r="F62" s="81"/>
      <c r="G62" s="81"/>
      <c r="H62" s="81"/>
    </row>
    <row r="63" spans="1:78" x14ac:dyDescent="0.2">
      <c r="C63" s="81"/>
      <c r="D63" s="81"/>
      <c r="E63" s="81"/>
      <c r="F63" s="81"/>
      <c r="G63" s="81"/>
      <c r="H63" s="81"/>
    </row>
    <row r="64" spans="1:78" x14ac:dyDescent="0.2">
      <c r="C64" s="81"/>
      <c r="D64" s="81"/>
      <c r="E64" s="81"/>
      <c r="F64" s="81"/>
      <c r="G64" s="81"/>
      <c r="H64" s="81"/>
    </row>
    <row r="65" spans="3:8" s="83" customFormat="1" x14ac:dyDescent="0.2">
      <c r="C65" s="81"/>
      <c r="D65" s="81"/>
      <c r="E65" s="81"/>
      <c r="F65" s="81"/>
      <c r="G65" s="81"/>
      <c r="H65" s="81"/>
    </row>
    <row r="66" spans="3:8" s="83" customFormat="1" x14ac:dyDescent="0.2">
      <c r="C66" s="81"/>
      <c r="D66" s="81"/>
      <c r="E66" s="81"/>
      <c r="F66" s="81"/>
      <c r="G66" s="81"/>
      <c r="H66" s="81"/>
    </row>
    <row r="67" spans="3:8" s="83" customFormat="1" x14ac:dyDescent="0.2">
      <c r="C67" s="81"/>
      <c r="D67" s="81"/>
      <c r="E67" s="81"/>
      <c r="F67" s="81"/>
      <c r="G67" s="81"/>
      <c r="H67" s="81"/>
    </row>
    <row r="68" spans="3:8" s="83" customFormat="1" x14ac:dyDescent="0.2">
      <c r="C68" s="81"/>
      <c r="D68" s="81"/>
      <c r="E68" s="81"/>
      <c r="F68" s="81"/>
      <c r="G68" s="81"/>
      <c r="H68" s="81"/>
    </row>
    <row r="69" spans="3:8" s="83" customFormat="1" x14ac:dyDescent="0.2">
      <c r="C69" s="81"/>
      <c r="D69" s="81"/>
      <c r="E69" s="81"/>
      <c r="F69" s="81"/>
      <c r="G69" s="81"/>
      <c r="H69" s="81"/>
    </row>
    <row r="70" spans="3:8" s="83" customFormat="1" x14ac:dyDescent="0.2">
      <c r="C70" s="81"/>
      <c r="D70" s="81"/>
      <c r="E70" s="81"/>
      <c r="F70" s="81"/>
      <c r="G70" s="81"/>
      <c r="H70" s="81"/>
    </row>
    <row r="71" spans="3:8" s="83" customFormat="1" x14ac:dyDescent="0.2">
      <c r="C71" s="81"/>
      <c r="D71" s="81"/>
      <c r="E71" s="81"/>
      <c r="F71" s="81"/>
      <c r="G71" s="81"/>
      <c r="H71" s="81"/>
    </row>
    <row r="72" spans="3:8" s="83" customFormat="1" x14ac:dyDescent="0.2">
      <c r="C72" s="81"/>
      <c r="D72" s="81"/>
      <c r="E72" s="81"/>
      <c r="F72" s="81"/>
      <c r="G72" s="81"/>
      <c r="H72" s="81"/>
    </row>
    <row r="73" spans="3:8" s="83" customFormat="1" x14ac:dyDescent="0.2">
      <c r="C73" s="81"/>
      <c r="D73" s="81"/>
      <c r="E73" s="81"/>
      <c r="F73" s="81"/>
      <c r="G73" s="81"/>
      <c r="H73" s="81"/>
    </row>
    <row r="74" spans="3:8" s="83" customFormat="1" x14ac:dyDescent="0.2">
      <c r="C74" s="81"/>
      <c r="D74" s="81"/>
      <c r="E74" s="81"/>
      <c r="F74" s="81"/>
      <c r="G74" s="81"/>
      <c r="H74" s="81"/>
    </row>
    <row r="75" spans="3:8" s="83" customFormat="1" x14ac:dyDescent="0.2">
      <c r="C75" s="81"/>
      <c r="D75" s="81"/>
      <c r="E75" s="81"/>
      <c r="F75" s="81"/>
      <c r="G75" s="81"/>
      <c r="H75" s="81"/>
    </row>
    <row r="76" spans="3:8" s="83" customFormat="1" x14ac:dyDescent="0.2">
      <c r="C76" s="81"/>
      <c r="D76" s="81"/>
      <c r="E76" s="81"/>
      <c r="F76" s="81"/>
      <c r="G76" s="81"/>
      <c r="H76" s="81"/>
    </row>
    <row r="77" spans="3:8" s="83" customFormat="1" x14ac:dyDescent="0.2">
      <c r="C77" s="81"/>
      <c r="D77" s="81"/>
      <c r="E77" s="81"/>
      <c r="F77" s="81"/>
      <c r="G77" s="81"/>
      <c r="H77" s="81"/>
    </row>
    <row r="78" spans="3:8" s="83" customFormat="1" x14ac:dyDescent="0.2">
      <c r="C78" s="81"/>
      <c r="D78" s="81"/>
      <c r="E78" s="81"/>
      <c r="F78" s="81"/>
      <c r="G78" s="81"/>
      <c r="H78" s="81"/>
    </row>
    <row r="79" spans="3:8" s="83" customFormat="1" x14ac:dyDescent="0.2">
      <c r="C79" s="81"/>
      <c r="D79" s="81"/>
      <c r="E79" s="81"/>
      <c r="F79" s="81"/>
      <c r="G79" s="81"/>
      <c r="H79" s="81"/>
    </row>
    <row r="80" spans="3:8" s="83" customFormat="1" x14ac:dyDescent="0.2">
      <c r="C80" s="81"/>
      <c r="D80" s="81"/>
      <c r="E80" s="81"/>
      <c r="F80" s="81"/>
      <c r="G80" s="81"/>
      <c r="H80" s="81"/>
    </row>
    <row r="81" spans="3:8" s="83" customFormat="1" x14ac:dyDescent="0.2">
      <c r="C81" s="81"/>
      <c r="D81" s="81"/>
      <c r="E81" s="81"/>
      <c r="F81" s="81"/>
      <c r="G81" s="81"/>
      <c r="H81" s="81"/>
    </row>
    <row r="82" spans="3:8" s="83" customFormat="1" x14ac:dyDescent="0.2">
      <c r="C82" s="81"/>
      <c r="D82" s="81"/>
      <c r="E82" s="81"/>
      <c r="F82" s="81"/>
      <c r="G82" s="81"/>
      <c r="H82" s="81"/>
    </row>
    <row r="83" spans="3:8" s="83" customFormat="1" x14ac:dyDescent="0.2">
      <c r="C83" s="81"/>
      <c r="D83" s="81"/>
      <c r="E83" s="81"/>
      <c r="F83" s="81"/>
      <c r="G83" s="81"/>
      <c r="H83" s="81"/>
    </row>
    <row r="84" spans="3:8" s="83" customFormat="1" x14ac:dyDescent="0.2">
      <c r="C84" s="81"/>
      <c r="D84" s="81"/>
      <c r="E84" s="81"/>
      <c r="F84" s="81"/>
      <c r="G84" s="81"/>
      <c r="H84" s="81"/>
    </row>
    <row r="85" spans="3:8" s="83" customFormat="1" x14ac:dyDescent="0.2">
      <c r="C85" s="81"/>
      <c r="D85" s="81"/>
      <c r="E85" s="81"/>
      <c r="F85" s="81"/>
      <c r="G85" s="81"/>
      <c r="H85" s="81"/>
    </row>
    <row r="86" spans="3:8" s="83" customFormat="1" x14ac:dyDescent="0.2">
      <c r="C86" s="81"/>
      <c r="D86" s="81"/>
      <c r="E86" s="81"/>
      <c r="F86" s="81"/>
      <c r="G86" s="81"/>
      <c r="H86" s="81"/>
    </row>
    <row r="87" spans="3:8" s="83" customFormat="1" x14ac:dyDescent="0.2">
      <c r="C87" s="81"/>
      <c r="D87" s="81"/>
      <c r="E87" s="81"/>
      <c r="F87" s="81"/>
      <c r="G87" s="81"/>
      <c r="H87" s="81"/>
    </row>
    <row r="88" spans="3:8" s="83" customFormat="1" x14ac:dyDescent="0.2">
      <c r="C88" s="81"/>
      <c r="D88" s="81"/>
      <c r="E88" s="81"/>
      <c r="F88" s="81"/>
      <c r="G88" s="81"/>
      <c r="H88" s="81"/>
    </row>
    <row r="89" spans="3:8" s="83" customFormat="1" x14ac:dyDescent="0.2">
      <c r="C89" s="81"/>
      <c r="D89" s="81"/>
      <c r="E89" s="81"/>
      <c r="F89" s="81"/>
      <c r="G89" s="81"/>
      <c r="H89" s="81"/>
    </row>
    <row r="90" spans="3:8" s="83" customFormat="1" x14ac:dyDescent="0.2">
      <c r="C90" s="81"/>
      <c r="D90" s="81"/>
      <c r="E90" s="81"/>
      <c r="F90" s="81"/>
      <c r="G90" s="81"/>
      <c r="H90" s="81"/>
    </row>
    <row r="91" spans="3:8" s="83" customFormat="1" x14ac:dyDescent="0.2">
      <c r="C91" s="81"/>
      <c r="D91" s="81"/>
      <c r="E91" s="81"/>
      <c r="F91" s="81"/>
      <c r="G91" s="81"/>
      <c r="H91" s="81"/>
    </row>
    <row r="92" spans="3:8" s="83" customFormat="1" x14ac:dyDescent="0.2">
      <c r="C92" s="81"/>
      <c r="D92" s="81"/>
      <c r="E92" s="81"/>
      <c r="F92" s="81"/>
      <c r="G92" s="81"/>
      <c r="H92" s="81"/>
    </row>
    <row r="93" spans="3:8" s="83" customFormat="1" x14ac:dyDescent="0.2">
      <c r="C93" s="81"/>
      <c r="D93" s="81"/>
      <c r="E93" s="81"/>
      <c r="F93" s="81"/>
      <c r="G93" s="81"/>
      <c r="H93" s="81"/>
    </row>
    <row r="94" spans="3:8" s="83" customFormat="1" x14ac:dyDescent="0.2">
      <c r="C94" s="81"/>
      <c r="D94" s="81"/>
      <c r="E94" s="81"/>
      <c r="F94" s="81"/>
      <c r="G94" s="81"/>
      <c r="H94" s="81"/>
    </row>
    <row r="95" spans="3:8" s="83" customFormat="1" x14ac:dyDescent="0.2">
      <c r="C95" s="81"/>
      <c r="D95" s="81"/>
      <c r="E95" s="81"/>
      <c r="F95" s="81"/>
      <c r="G95" s="81"/>
      <c r="H95" s="81"/>
    </row>
    <row r="96" spans="3:8" s="83" customFormat="1" x14ac:dyDescent="0.2">
      <c r="C96" s="81"/>
      <c r="D96" s="81"/>
      <c r="E96" s="81"/>
      <c r="F96" s="81"/>
      <c r="G96" s="81"/>
      <c r="H96" s="81"/>
    </row>
    <row r="97" spans="3:8" s="83" customFormat="1" x14ac:dyDescent="0.2">
      <c r="C97" s="81"/>
      <c r="D97" s="81"/>
      <c r="E97" s="81"/>
      <c r="F97" s="81"/>
      <c r="G97" s="81"/>
      <c r="H97" s="81"/>
    </row>
    <row r="98" spans="3:8" s="83" customFormat="1" x14ac:dyDescent="0.2">
      <c r="C98" s="81"/>
      <c r="D98" s="81"/>
      <c r="E98" s="81"/>
      <c r="F98" s="81"/>
      <c r="G98" s="81"/>
      <c r="H98" s="81"/>
    </row>
    <row r="99" spans="3:8" s="83" customFormat="1" x14ac:dyDescent="0.2">
      <c r="C99" s="81"/>
      <c r="D99" s="81"/>
      <c r="E99" s="81"/>
      <c r="F99" s="81"/>
      <c r="G99" s="81"/>
      <c r="H99" s="81"/>
    </row>
    <row r="100" spans="3:8" s="83" customFormat="1" x14ac:dyDescent="0.2">
      <c r="C100" s="81"/>
      <c r="D100" s="81"/>
      <c r="E100" s="81"/>
      <c r="F100" s="81"/>
      <c r="G100" s="81"/>
      <c r="H100" s="81"/>
    </row>
    <row r="101" spans="3:8" s="83" customFormat="1" x14ac:dyDescent="0.2">
      <c r="C101" s="81"/>
      <c r="D101" s="81"/>
      <c r="E101" s="81"/>
      <c r="F101" s="81"/>
      <c r="G101" s="81"/>
      <c r="H101" s="81"/>
    </row>
    <row r="102" spans="3:8" s="83" customFormat="1" x14ac:dyDescent="0.2">
      <c r="C102" s="81"/>
      <c r="D102" s="81"/>
      <c r="E102" s="81"/>
      <c r="F102" s="81"/>
      <c r="G102" s="81"/>
      <c r="H102" s="81"/>
    </row>
    <row r="103" spans="3:8" s="83" customFormat="1" x14ac:dyDescent="0.2">
      <c r="C103" s="81"/>
      <c r="D103" s="81"/>
      <c r="E103" s="81"/>
      <c r="F103" s="81"/>
      <c r="G103" s="81"/>
      <c r="H103" s="81"/>
    </row>
    <row r="104" spans="3:8" s="83" customFormat="1" x14ac:dyDescent="0.2">
      <c r="C104" s="81"/>
      <c r="D104" s="81"/>
      <c r="E104" s="81"/>
      <c r="F104" s="81"/>
      <c r="G104" s="81"/>
      <c r="H104" s="81"/>
    </row>
    <row r="105" spans="3:8" s="83" customFormat="1" x14ac:dyDescent="0.2">
      <c r="C105" s="81"/>
      <c r="D105" s="81"/>
      <c r="E105" s="81"/>
      <c r="F105" s="81"/>
      <c r="G105" s="81"/>
      <c r="H105" s="81"/>
    </row>
    <row r="106" spans="3:8" s="83" customFormat="1" x14ac:dyDescent="0.2">
      <c r="C106" s="81"/>
      <c r="D106" s="81"/>
      <c r="E106" s="81"/>
      <c r="F106" s="81"/>
      <c r="G106" s="81"/>
      <c r="H106" s="81"/>
    </row>
    <row r="107" spans="3:8" s="83" customFormat="1" x14ac:dyDescent="0.2">
      <c r="C107" s="81"/>
      <c r="D107" s="81"/>
      <c r="E107" s="81"/>
      <c r="F107" s="81"/>
      <c r="G107" s="81"/>
      <c r="H107" s="81"/>
    </row>
    <row r="108" spans="3:8" s="83" customFormat="1" x14ac:dyDescent="0.2">
      <c r="C108" s="81"/>
      <c r="D108" s="81"/>
      <c r="E108" s="81"/>
      <c r="F108" s="81"/>
      <c r="G108" s="81"/>
      <c r="H108" s="81"/>
    </row>
    <row r="109" spans="3:8" s="83" customFormat="1" x14ac:dyDescent="0.2">
      <c r="C109" s="81"/>
      <c r="D109" s="81"/>
      <c r="E109" s="81"/>
      <c r="F109" s="81"/>
      <c r="G109" s="81"/>
      <c r="H109" s="81"/>
    </row>
    <row r="110" spans="3:8" s="83" customFormat="1" x14ac:dyDescent="0.2">
      <c r="C110" s="81"/>
      <c r="D110" s="81"/>
      <c r="E110" s="81"/>
      <c r="F110" s="81"/>
      <c r="G110" s="81"/>
      <c r="H110" s="81"/>
    </row>
    <row r="111" spans="3:8" s="83" customFormat="1" x14ac:dyDescent="0.2">
      <c r="C111" s="81"/>
      <c r="D111" s="81"/>
      <c r="E111" s="81"/>
      <c r="F111" s="81"/>
      <c r="G111" s="81"/>
      <c r="H111" s="81"/>
    </row>
    <row r="112" spans="3:8" s="83" customFormat="1" x14ac:dyDescent="0.2">
      <c r="C112" s="81"/>
      <c r="D112" s="81"/>
      <c r="E112" s="81"/>
      <c r="F112" s="81"/>
      <c r="G112" s="81"/>
      <c r="H112" s="81"/>
    </row>
    <row r="113" spans="3:8" s="83" customFormat="1" x14ac:dyDescent="0.2">
      <c r="C113" s="81"/>
      <c r="D113" s="81"/>
      <c r="E113" s="81"/>
      <c r="F113" s="81"/>
      <c r="G113" s="81"/>
      <c r="H113" s="81"/>
    </row>
    <row r="114" spans="3:8" s="83" customFormat="1" x14ac:dyDescent="0.2">
      <c r="C114" s="81"/>
      <c r="D114" s="81"/>
      <c r="E114" s="81"/>
      <c r="F114" s="81"/>
      <c r="G114" s="81"/>
      <c r="H114" s="81"/>
    </row>
    <row r="115" spans="3:8" s="83" customFormat="1" x14ac:dyDescent="0.2">
      <c r="C115" s="81"/>
      <c r="D115" s="81"/>
      <c r="E115" s="81"/>
      <c r="F115" s="81"/>
      <c r="G115" s="81"/>
      <c r="H115" s="81"/>
    </row>
    <row r="116" spans="3:8" s="83" customFormat="1" x14ac:dyDescent="0.2">
      <c r="C116" s="81"/>
      <c r="D116" s="81"/>
      <c r="E116" s="81"/>
      <c r="F116" s="81"/>
      <c r="G116" s="81"/>
      <c r="H116" s="81"/>
    </row>
    <row r="117" spans="3:8" s="83" customFormat="1" x14ac:dyDescent="0.2">
      <c r="C117" s="81"/>
      <c r="D117" s="81"/>
      <c r="E117" s="81"/>
      <c r="F117" s="81"/>
      <c r="G117" s="81"/>
      <c r="H117" s="81"/>
    </row>
    <row r="118" spans="3:8" s="83" customFormat="1" x14ac:dyDescent="0.2">
      <c r="C118" s="81"/>
      <c r="D118" s="81"/>
      <c r="E118" s="81"/>
      <c r="F118" s="81"/>
      <c r="G118" s="81"/>
      <c r="H118" s="81"/>
    </row>
    <row r="119" spans="3:8" s="83" customFormat="1" x14ac:dyDescent="0.2">
      <c r="C119" s="81"/>
      <c r="D119" s="81"/>
      <c r="E119" s="81"/>
      <c r="F119" s="81"/>
      <c r="G119" s="81"/>
      <c r="H119" s="81"/>
    </row>
    <row r="120" spans="3:8" s="83" customFormat="1" x14ac:dyDescent="0.2">
      <c r="C120" s="81"/>
      <c r="D120" s="81"/>
      <c r="E120" s="81"/>
      <c r="F120" s="81"/>
      <c r="G120" s="81"/>
      <c r="H120" s="81"/>
    </row>
    <row r="121" spans="3:8" s="83" customFormat="1" x14ac:dyDescent="0.2">
      <c r="C121" s="81"/>
      <c r="D121" s="81"/>
      <c r="E121" s="81"/>
      <c r="F121" s="81"/>
      <c r="G121" s="81"/>
      <c r="H121" s="81"/>
    </row>
    <row r="122" spans="3:8" s="83" customFormat="1" x14ac:dyDescent="0.2">
      <c r="C122" s="81"/>
      <c r="D122" s="81"/>
      <c r="E122" s="81"/>
      <c r="F122" s="81"/>
      <c r="G122" s="81"/>
      <c r="H122" s="81"/>
    </row>
    <row r="123" spans="3:8" s="83" customFormat="1" x14ac:dyDescent="0.2">
      <c r="C123" s="81"/>
      <c r="D123" s="81"/>
      <c r="E123" s="81"/>
      <c r="F123" s="81"/>
      <c r="G123" s="81"/>
      <c r="H123" s="81"/>
    </row>
    <row r="124" spans="3:8" s="83" customFormat="1" x14ac:dyDescent="0.2">
      <c r="C124" s="81"/>
      <c r="D124" s="81"/>
      <c r="E124" s="81"/>
      <c r="F124" s="81"/>
      <c r="G124" s="81"/>
      <c r="H124" s="81"/>
    </row>
    <row r="125" spans="3:8" s="83" customFormat="1" x14ac:dyDescent="0.2">
      <c r="C125" s="81"/>
      <c r="D125" s="81"/>
      <c r="E125" s="81"/>
      <c r="F125" s="81"/>
      <c r="G125" s="81"/>
      <c r="H125" s="81"/>
    </row>
    <row r="126" spans="3:8" s="83" customFormat="1" x14ac:dyDescent="0.2">
      <c r="C126" s="81"/>
      <c r="D126" s="81"/>
      <c r="E126" s="81"/>
      <c r="F126" s="81"/>
      <c r="G126" s="81"/>
      <c r="H126" s="81"/>
    </row>
    <row r="127" spans="3:8" s="83" customFormat="1" x14ac:dyDescent="0.2">
      <c r="C127" s="81"/>
      <c r="D127" s="81"/>
      <c r="E127" s="81"/>
      <c r="F127" s="81"/>
      <c r="G127" s="81"/>
      <c r="H127" s="81"/>
    </row>
    <row r="128" spans="3:8" s="83" customFormat="1" x14ac:dyDescent="0.2">
      <c r="C128" s="81"/>
      <c r="D128" s="81"/>
      <c r="E128" s="81"/>
      <c r="F128" s="81"/>
      <c r="G128" s="81"/>
      <c r="H128" s="81"/>
    </row>
    <row r="129" spans="3:8" s="83" customFormat="1" x14ac:dyDescent="0.2">
      <c r="C129" s="81"/>
      <c r="D129" s="81"/>
      <c r="E129" s="81"/>
      <c r="F129" s="81"/>
      <c r="G129" s="81"/>
      <c r="H129" s="81"/>
    </row>
    <row r="130" spans="3:8" s="83" customFormat="1" x14ac:dyDescent="0.2">
      <c r="C130" s="81"/>
      <c r="D130" s="81"/>
      <c r="E130" s="81"/>
      <c r="F130" s="81"/>
      <c r="G130" s="81"/>
      <c r="H130" s="81"/>
    </row>
    <row r="131" spans="3:8" s="83" customFormat="1" x14ac:dyDescent="0.2">
      <c r="C131" s="81"/>
      <c r="D131" s="81"/>
      <c r="E131" s="81"/>
      <c r="F131" s="81"/>
      <c r="G131" s="81"/>
      <c r="H131" s="81"/>
    </row>
    <row r="132" spans="3:8" s="83" customFormat="1" x14ac:dyDescent="0.2">
      <c r="C132" s="81"/>
      <c r="D132" s="81"/>
      <c r="E132" s="81"/>
      <c r="F132" s="81"/>
      <c r="G132" s="81"/>
      <c r="H132" s="81"/>
    </row>
    <row r="133" spans="3:8" s="83" customFormat="1" x14ac:dyDescent="0.2">
      <c r="C133" s="81"/>
      <c r="D133" s="81"/>
      <c r="E133" s="81"/>
      <c r="F133" s="81"/>
      <c r="G133" s="81"/>
      <c r="H133" s="81"/>
    </row>
    <row r="134" spans="3:8" s="83" customFormat="1" x14ac:dyDescent="0.2">
      <c r="C134" s="81"/>
      <c r="D134" s="81"/>
      <c r="E134" s="81"/>
      <c r="F134" s="81"/>
      <c r="G134" s="81"/>
      <c r="H134" s="81"/>
    </row>
    <row r="135" spans="3:8" s="83" customFormat="1" x14ac:dyDescent="0.2">
      <c r="C135" s="81"/>
      <c r="D135" s="81"/>
      <c r="E135" s="81"/>
      <c r="F135" s="81"/>
      <c r="G135" s="81"/>
      <c r="H135" s="81"/>
    </row>
    <row r="136" spans="3:8" s="83" customFormat="1" x14ac:dyDescent="0.2">
      <c r="C136" s="81"/>
      <c r="D136" s="81"/>
      <c r="E136" s="81"/>
      <c r="F136" s="81"/>
      <c r="G136" s="81"/>
      <c r="H136" s="81"/>
    </row>
    <row r="137" spans="3:8" s="83" customFormat="1" x14ac:dyDescent="0.2">
      <c r="C137" s="81"/>
      <c r="D137" s="81"/>
      <c r="E137" s="81"/>
      <c r="F137" s="81"/>
      <c r="G137" s="81"/>
      <c r="H137" s="81"/>
    </row>
    <row r="138" spans="3:8" s="83" customFormat="1" x14ac:dyDescent="0.2">
      <c r="C138" s="81"/>
      <c r="D138" s="81"/>
      <c r="E138" s="81"/>
      <c r="F138" s="81"/>
      <c r="G138" s="81"/>
      <c r="H138" s="81"/>
    </row>
    <row r="139" spans="3:8" s="83" customFormat="1" x14ac:dyDescent="0.2">
      <c r="C139" s="81"/>
      <c r="D139" s="81"/>
      <c r="E139" s="81"/>
      <c r="F139" s="81"/>
      <c r="G139" s="81"/>
      <c r="H139" s="81"/>
    </row>
    <row r="140" spans="3:8" s="83" customFormat="1" x14ac:dyDescent="0.2">
      <c r="C140" s="81"/>
      <c r="D140" s="81"/>
      <c r="E140" s="81"/>
      <c r="F140" s="81"/>
      <c r="G140" s="81"/>
      <c r="H140" s="81"/>
    </row>
    <row r="141" spans="3:8" s="83" customFormat="1" x14ac:dyDescent="0.2">
      <c r="C141" s="81"/>
      <c r="D141" s="81"/>
      <c r="E141" s="81"/>
      <c r="F141" s="81"/>
      <c r="G141" s="81"/>
      <c r="H141" s="81"/>
    </row>
    <row r="142" spans="3:8" s="83" customFormat="1" x14ac:dyDescent="0.2">
      <c r="C142" s="81"/>
      <c r="D142" s="81"/>
      <c r="E142" s="81"/>
      <c r="F142" s="81"/>
      <c r="G142" s="81"/>
      <c r="H142" s="81"/>
    </row>
    <row r="143" spans="3:8" s="83" customFormat="1" x14ac:dyDescent="0.2">
      <c r="C143" s="81"/>
      <c r="D143" s="81"/>
      <c r="E143" s="81"/>
      <c r="F143" s="81"/>
      <c r="G143" s="81"/>
      <c r="H143" s="81"/>
    </row>
    <row r="144" spans="3:8" s="83" customFormat="1" x14ac:dyDescent="0.2">
      <c r="C144" s="81"/>
      <c r="D144" s="81"/>
      <c r="E144" s="81"/>
      <c r="F144" s="81"/>
      <c r="G144" s="81"/>
      <c r="H144" s="81"/>
    </row>
    <row r="145" spans="3:8" s="83" customFormat="1" x14ac:dyDescent="0.2">
      <c r="C145" s="81"/>
      <c r="D145" s="81"/>
      <c r="E145" s="81"/>
      <c r="F145" s="81"/>
      <c r="G145" s="81"/>
      <c r="H145" s="81"/>
    </row>
    <row r="146" spans="3:8" s="83" customFormat="1" x14ac:dyDescent="0.2">
      <c r="C146" s="81"/>
      <c r="D146" s="81"/>
      <c r="E146" s="81"/>
      <c r="F146" s="81"/>
      <c r="G146" s="81"/>
      <c r="H146" s="81"/>
    </row>
    <row r="147" spans="3:8" s="83" customFormat="1" x14ac:dyDescent="0.2">
      <c r="C147" s="81"/>
      <c r="D147" s="81"/>
      <c r="E147" s="81"/>
      <c r="F147" s="81"/>
      <c r="G147" s="81"/>
      <c r="H147" s="81"/>
    </row>
    <row r="148" spans="3:8" s="83" customFormat="1" x14ac:dyDescent="0.2">
      <c r="C148" s="81"/>
      <c r="D148" s="81"/>
      <c r="E148" s="81"/>
      <c r="F148" s="81"/>
      <c r="G148" s="81"/>
      <c r="H148" s="81"/>
    </row>
    <row r="149" spans="3:8" s="83" customFormat="1" x14ac:dyDescent="0.2">
      <c r="C149" s="81"/>
      <c r="D149" s="81"/>
      <c r="E149" s="81"/>
      <c r="F149" s="81"/>
      <c r="G149" s="81"/>
      <c r="H149" s="81"/>
    </row>
    <row r="150" spans="3:8" s="83" customFormat="1" x14ac:dyDescent="0.2">
      <c r="C150" s="81"/>
      <c r="D150" s="81"/>
      <c r="E150" s="81"/>
      <c r="F150" s="81"/>
      <c r="G150" s="81"/>
      <c r="H150" s="81"/>
    </row>
    <row r="151" spans="3:8" s="83" customFormat="1" x14ac:dyDescent="0.2">
      <c r="C151" s="81"/>
      <c r="D151" s="81"/>
      <c r="E151" s="81"/>
      <c r="F151" s="81"/>
      <c r="G151" s="81"/>
      <c r="H151" s="81"/>
    </row>
    <row r="152" spans="3:8" s="83" customFormat="1" x14ac:dyDescent="0.2">
      <c r="C152" s="81"/>
      <c r="D152" s="81"/>
      <c r="E152" s="81"/>
      <c r="F152" s="81"/>
      <c r="G152" s="81"/>
      <c r="H152" s="81"/>
    </row>
    <row r="153" spans="3:8" s="83" customFormat="1" x14ac:dyDescent="0.2">
      <c r="C153" s="81"/>
      <c r="D153" s="81"/>
      <c r="E153" s="81"/>
      <c r="F153" s="81"/>
      <c r="G153" s="81"/>
      <c r="H153" s="81"/>
    </row>
    <row r="154" spans="3:8" s="83" customFormat="1" x14ac:dyDescent="0.2">
      <c r="C154" s="81"/>
      <c r="D154" s="81"/>
      <c r="E154" s="81"/>
      <c r="F154" s="81"/>
      <c r="G154" s="81"/>
      <c r="H154" s="81"/>
    </row>
    <row r="155" spans="3:8" s="83" customFormat="1" x14ac:dyDescent="0.2">
      <c r="C155" s="81"/>
      <c r="D155" s="81"/>
      <c r="E155" s="81"/>
      <c r="F155" s="81"/>
      <c r="G155" s="81"/>
      <c r="H155" s="81"/>
    </row>
    <row r="156" spans="3:8" s="83" customFormat="1" x14ac:dyDescent="0.2">
      <c r="C156" s="81"/>
      <c r="D156" s="81"/>
      <c r="E156" s="81"/>
      <c r="F156" s="81"/>
      <c r="G156" s="81"/>
      <c r="H156" s="81"/>
    </row>
    <row r="157" spans="3:8" s="83" customFormat="1" x14ac:dyDescent="0.2">
      <c r="C157" s="81"/>
      <c r="D157" s="81"/>
      <c r="E157" s="81"/>
      <c r="F157" s="81"/>
      <c r="G157" s="81"/>
      <c r="H157" s="81"/>
    </row>
    <row r="158" spans="3:8" s="83" customFormat="1" x14ac:dyDescent="0.2">
      <c r="C158" s="81"/>
      <c r="D158" s="81"/>
      <c r="E158" s="81"/>
      <c r="F158" s="81"/>
      <c r="G158" s="81"/>
      <c r="H158" s="81"/>
    </row>
    <row r="159" spans="3:8" s="83" customFormat="1" x14ac:dyDescent="0.2">
      <c r="C159" s="81"/>
      <c r="D159" s="81"/>
      <c r="E159" s="81"/>
      <c r="F159" s="81"/>
      <c r="G159" s="81"/>
      <c r="H159" s="81"/>
    </row>
    <row r="160" spans="3:8" s="83" customFormat="1" x14ac:dyDescent="0.2">
      <c r="C160" s="81"/>
      <c r="D160" s="81"/>
      <c r="E160" s="81"/>
      <c r="F160" s="81"/>
      <c r="G160" s="81"/>
      <c r="H160" s="81"/>
    </row>
    <row r="161" spans="3:8" s="83" customFormat="1" x14ac:dyDescent="0.2">
      <c r="C161" s="81"/>
      <c r="D161" s="81"/>
      <c r="E161" s="81"/>
      <c r="F161" s="81"/>
      <c r="G161" s="81"/>
      <c r="H161" s="81"/>
    </row>
    <row r="162" spans="3:8" s="83" customFormat="1" x14ac:dyDescent="0.2">
      <c r="C162" s="81"/>
      <c r="D162" s="81"/>
      <c r="E162" s="81"/>
      <c r="F162" s="81"/>
      <c r="G162" s="81"/>
      <c r="H162" s="81"/>
    </row>
    <row r="163" spans="3:8" s="83" customFormat="1" x14ac:dyDescent="0.2">
      <c r="C163" s="81"/>
      <c r="D163" s="81"/>
      <c r="E163" s="81"/>
      <c r="F163" s="81"/>
      <c r="G163" s="81"/>
      <c r="H163" s="81"/>
    </row>
    <row r="164" spans="3:8" s="83" customFormat="1" x14ac:dyDescent="0.2">
      <c r="C164" s="81"/>
      <c r="D164" s="81"/>
      <c r="E164" s="81"/>
      <c r="F164" s="81"/>
      <c r="G164" s="81"/>
      <c r="H164" s="81"/>
    </row>
    <row r="165" spans="3:8" s="83" customFormat="1" x14ac:dyDescent="0.2">
      <c r="C165" s="81"/>
      <c r="D165" s="81"/>
      <c r="E165" s="81"/>
      <c r="F165" s="81"/>
      <c r="G165" s="81"/>
      <c r="H165" s="81"/>
    </row>
    <row r="166" spans="3:8" s="83" customFormat="1" x14ac:dyDescent="0.2">
      <c r="C166" s="81"/>
      <c r="D166" s="81"/>
      <c r="E166" s="81"/>
      <c r="F166" s="81"/>
      <c r="G166" s="81"/>
      <c r="H166" s="81"/>
    </row>
    <row r="167" spans="3:8" s="83" customFormat="1" x14ac:dyDescent="0.2">
      <c r="C167" s="81"/>
      <c r="D167" s="81"/>
      <c r="E167" s="81"/>
      <c r="F167" s="81"/>
      <c r="G167" s="81"/>
      <c r="H167" s="81"/>
    </row>
    <row r="168" spans="3:8" s="83" customFormat="1" x14ac:dyDescent="0.2">
      <c r="C168" s="81"/>
      <c r="D168" s="81"/>
      <c r="E168" s="81"/>
      <c r="F168" s="81"/>
      <c r="G168" s="81"/>
      <c r="H168" s="81"/>
    </row>
    <row r="169" spans="3:8" s="83" customFormat="1" x14ac:dyDescent="0.2">
      <c r="C169" s="81"/>
      <c r="D169" s="81"/>
      <c r="E169" s="81"/>
      <c r="F169" s="81"/>
      <c r="G169" s="81"/>
      <c r="H169" s="81"/>
    </row>
    <row r="170" spans="3:8" s="83" customFormat="1" x14ac:dyDescent="0.2">
      <c r="C170" s="81"/>
      <c r="D170" s="81"/>
      <c r="E170" s="81"/>
      <c r="F170" s="81"/>
      <c r="G170" s="81"/>
      <c r="H170" s="81"/>
    </row>
    <row r="171" spans="3:8" s="83" customFormat="1" x14ac:dyDescent="0.2">
      <c r="C171" s="81"/>
      <c r="D171" s="81"/>
      <c r="E171" s="81"/>
      <c r="F171" s="81"/>
      <c r="G171" s="81"/>
      <c r="H171" s="81"/>
    </row>
    <row r="172" spans="3:8" s="83" customFormat="1" x14ac:dyDescent="0.2">
      <c r="C172" s="81"/>
      <c r="D172" s="81"/>
      <c r="E172" s="81"/>
      <c r="F172" s="81"/>
      <c r="G172" s="81"/>
      <c r="H172" s="81"/>
    </row>
    <row r="173" spans="3:8" s="83" customFormat="1" x14ac:dyDescent="0.2">
      <c r="C173" s="81"/>
      <c r="D173" s="81"/>
      <c r="E173" s="81"/>
      <c r="F173" s="81"/>
      <c r="G173" s="81"/>
      <c r="H173" s="81"/>
    </row>
    <row r="174" spans="3:8" s="83" customFormat="1" x14ac:dyDescent="0.2">
      <c r="C174" s="81"/>
      <c r="D174" s="81"/>
      <c r="E174" s="81"/>
      <c r="F174" s="81"/>
      <c r="G174" s="81"/>
      <c r="H174" s="81"/>
    </row>
    <row r="175" spans="3:8" s="83" customFormat="1" x14ac:dyDescent="0.2">
      <c r="C175" s="81"/>
      <c r="D175" s="81"/>
      <c r="E175" s="81"/>
      <c r="F175" s="81"/>
      <c r="G175" s="81"/>
      <c r="H175" s="81"/>
    </row>
    <row r="176" spans="3:8" s="83" customFormat="1" x14ac:dyDescent="0.2">
      <c r="C176" s="81"/>
      <c r="D176" s="81"/>
      <c r="E176" s="81"/>
      <c r="F176" s="81"/>
      <c r="G176" s="81"/>
      <c r="H176" s="81"/>
    </row>
    <row r="177" spans="3:8" s="83" customFormat="1" x14ac:dyDescent="0.2">
      <c r="C177" s="81"/>
      <c r="D177" s="81"/>
      <c r="E177" s="81"/>
      <c r="F177" s="81"/>
      <c r="G177" s="81"/>
      <c r="H177" s="81"/>
    </row>
    <row r="178" spans="3:8" s="83" customFormat="1" x14ac:dyDescent="0.2">
      <c r="C178" s="81"/>
      <c r="D178" s="81"/>
      <c r="E178" s="81"/>
      <c r="F178" s="81"/>
      <c r="G178" s="81"/>
      <c r="H178" s="81"/>
    </row>
    <row r="179" spans="3:8" s="83" customFormat="1" x14ac:dyDescent="0.2">
      <c r="C179" s="81"/>
      <c r="D179" s="81"/>
      <c r="E179" s="81"/>
      <c r="F179" s="81"/>
      <c r="G179" s="81"/>
      <c r="H179" s="81"/>
    </row>
    <row r="180" spans="3:8" s="83" customFormat="1" x14ac:dyDescent="0.2">
      <c r="C180" s="81"/>
      <c r="D180" s="81"/>
      <c r="E180" s="81"/>
      <c r="F180" s="81"/>
      <c r="G180" s="81"/>
      <c r="H180" s="81"/>
    </row>
    <row r="181" spans="3:8" s="83" customFormat="1" x14ac:dyDescent="0.2">
      <c r="C181" s="81"/>
      <c r="D181" s="81"/>
      <c r="E181" s="81"/>
      <c r="F181" s="81"/>
      <c r="G181" s="81"/>
      <c r="H181" s="81"/>
    </row>
    <row r="182" spans="3:8" s="83" customFormat="1" x14ac:dyDescent="0.2">
      <c r="C182" s="81"/>
      <c r="D182" s="81"/>
      <c r="E182" s="81"/>
      <c r="F182" s="81"/>
      <c r="G182" s="81"/>
      <c r="H182" s="81"/>
    </row>
    <row r="183" spans="3:8" s="83" customFormat="1" x14ac:dyDescent="0.2">
      <c r="C183" s="81"/>
      <c r="D183" s="81"/>
      <c r="E183" s="81"/>
      <c r="F183" s="81"/>
      <c r="G183" s="81"/>
      <c r="H183" s="81"/>
    </row>
    <row r="184" spans="3:8" s="83" customFormat="1" x14ac:dyDescent="0.2">
      <c r="C184" s="81"/>
      <c r="D184" s="81"/>
      <c r="E184" s="81"/>
      <c r="F184" s="81"/>
      <c r="G184" s="81"/>
      <c r="H184" s="81"/>
    </row>
    <row r="185" spans="3:8" s="83" customFormat="1" x14ac:dyDescent="0.2">
      <c r="C185" s="81"/>
      <c r="D185" s="81"/>
      <c r="E185" s="81"/>
      <c r="F185" s="81"/>
      <c r="G185" s="81"/>
      <c r="H185" s="81"/>
    </row>
    <row r="186" spans="3:8" s="83" customFormat="1" x14ac:dyDescent="0.2">
      <c r="C186" s="81"/>
      <c r="D186" s="81"/>
      <c r="E186" s="81"/>
      <c r="F186" s="81"/>
      <c r="G186" s="81"/>
      <c r="H186" s="81"/>
    </row>
    <row r="187" spans="3:8" s="83" customFormat="1" x14ac:dyDescent="0.2">
      <c r="C187" s="81"/>
      <c r="D187" s="81"/>
      <c r="E187" s="81"/>
      <c r="F187" s="81"/>
      <c r="G187" s="81"/>
      <c r="H187" s="81"/>
    </row>
    <row r="188" spans="3:8" s="83" customFormat="1" x14ac:dyDescent="0.2">
      <c r="C188" s="81"/>
      <c r="D188" s="81"/>
      <c r="E188" s="81"/>
      <c r="F188" s="81"/>
      <c r="G188" s="81"/>
      <c r="H188" s="81"/>
    </row>
    <row r="189" spans="3:8" s="83" customFormat="1" x14ac:dyDescent="0.2">
      <c r="C189" s="81"/>
      <c r="D189" s="81"/>
      <c r="E189" s="81"/>
      <c r="F189" s="81"/>
      <c r="G189" s="81"/>
      <c r="H189" s="81"/>
    </row>
    <row r="190" spans="3:8" s="83" customFormat="1" x14ac:dyDescent="0.2">
      <c r="C190" s="81"/>
      <c r="D190" s="81"/>
      <c r="E190" s="81"/>
      <c r="F190" s="81"/>
      <c r="G190" s="81"/>
      <c r="H190" s="81"/>
    </row>
    <row r="191" spans="3:8" s="83" customFormat="1" x14ac:dyDescent="0.2">
      <c r="C191" s="81"/>
      <c r="D191" s="81"/>
      <c r="E191" s="81"/>
      <c r="F191" s="81"/>
      <c r="G191" s="81"/>
      <c r="H191" s="81"/>
    </row>
    <row r="192" spans="3:8" s="83" customFormat="1" x14ac:dyDescent="0.2">
      <c r="C192" s="81"/>
      <c r="D192" s="81"/>
      <c r="E192" s="81"/>
      <c r="F192" s="81"/>
      <c r="G192" s="81"/>
      <c r="H192" s="81"/>
    </row>
    <row r="193" spans="3:8" s="83" customFormat="1" x14ac:dyDescent="0.2">
      <c r="C193" s="81"/>
      <c r="D193" s="81"/>
      <c r="E193" s="81"/>
      <c r="F193" s="81"/>
      <c r="G193" s="81"/>
      <c r="H193" s="81"/>
    </row>
    <row r="194" spans="3:8" s="83" customFormat="1" x14ac:dyDescent="0.2">
      <c r="C194" s="81"/>
      <c r="D194" s="81"/>
      <c r="E194" s="81"/>
      <c r="F194" s="81"/>
      <c r="G194" s="81"/>
      <c r="H194" s="81"/>
    </row>
    <row r="195" spans="3:8" s="83" customFormat="1" x14ac:dyDescent="0.2">
      <c r="C195" s="81"/>
      <c r="D195" s="81"/>
      <c r="E195" s="81"/>
      <c r="F195" s="81"/>
      <c r="G195" s="81"/>
      <c r="H195" s="81"/>
    </row>
    <row r="196" spans="3:8" s="83" customFormat="1" x14ac:dyDescent="0.2">
      <c r="C196" s="81"/>
      <c r="D196" s="81"/>
      <c r="E196" s="81"/>
      <c r="F196" s="81"/>
      <c r="G196" s="81"/>
      <c r="H196" s="81"/>
    </row>
    <row r="197" spans="3:8" s="83" customFormat="1" x14ac:dyDescent="0.2">
      <c r="C197" s="81"/>
      <c r="D197" s="81"/>
      <c r="E197" s="81"/>
      <c r="F197" s="81"/>
      <c r="G197" s="81"/>
      <c r="H197" s="81"/>
    </row>
    <row r="198" spans="3:8" s="83" customFormat="1" x14ac:dyDescent="0.2">
      <c r="C198" s="81"/>
      <c r="D198" s="81"/>
      <c r="E198" s="81"/>
      <c r="F198" s="81"/>
      <c r="G198" s="81"/>
      <c r="H198" s="81"/>
    </row>
    <row r="199" spans="3:8" s="83" customFormat="1" x14ac:dyDescent="0.2">
      <c r="C199" s="81"/>
      <c r="D199" s="81"/>
      <c r="E199" s="81"/>
      <c r="F199" s="81"/>
      <c r="G199" s="81"/>
      <c r="H199" s="81"/>
    </row>
    <row r="200" spans="3:8" s="83" customFormat="1" x14ac:dyDescent="0.2">
      <c r="C200" s="81"/>
      <c r="D200" s="81"/>
      <c r="E200" s="81"/>
      <c r="F200" s="81"/>
      <c r="G200" s="81"/>
      <c r="H200" s="81"/>
    </row>
    <row r="201" spans="3:8" s="83" customFormat="1" x14ac:dyDescent="0.2">
      <c r="C201" s="81"/>
      <c r="D201" s="81"/>
      <c r="E201" s="81"/>
      <c r="F201" s="81"/>
      <c r="G201" s="81"/>
      <c r="H201" s="81"/>
    </row>
    <row r="202" spans="3:8" s="83" customFormat="1" x14ac:dyDescent="0.2">
      <c r="C202" s="81"/>
      <c r="D202" s="81"/>
      <c r="E202" s="81"/>
      <c r="F202" s="81"/>
      <c r="G202" s="81"/>
      <c r="H202" s="81"/>
    </row>
    <row r="203" spans="3:8" s="83" customFormat="1" x14ac:dyDescent="0.2">
      <c r="C203" s="81"/>
      <c r="D203" s="81"/>
      <c r="E203" s="81"/>
      <c r="F203" s="81"/>
      <c r="G203" s="81"/>
      <c r="H203" s="81"/>
    </row>
    <row r="204" spans="3:8" s="83" customFormat="1" x14ac:dyDescent="0.2">
      <c r="C204" s="81"/>
      <c r="D204" s="81"/>
      <c r="E204" s="81"/>
      <c r="F204" s="81"/>
      <c r="G204" s="81"/>
      <c r="H204" s="81"/>
    </row>
    <row r="205" spans="3:8" s="83" customFormat="1" x14ac:dyDescent="0.2">
      <c r="C205" s="81"/>
      <c r="D205" s="81"/>
      <c r="E205" s="81"/>
      <c r="F205" s="81"/>
      <c r="G205" s="81"/>
      <c r="H205" s="81"/>
    </row>
    <row r="206" spans="3:8" s="83" customFormat="1" x14ac:dyDescent="0.2">
      <c r="C206" s="81"/>
      <c r="D206" s="81"/>
      <c r="E206" s="81"/>
      <c r="F206" s="81"/>
      <c r="G206" s="81"/>
      <c r="H206" s="81"/>
    </row>
    <row r="207" spans="3:8" s="83" customFormat="1" x14ac:dyDescent="0.2">
      <c r="C207" s="81"/>
      <c r="D207" s="81"/>
      <c r="E207" s="81"/>
      <c r="F207" s="81"/>
      <c r="G207" s="81"/>
      <c r="H207" s="81"/>
    </row>
    <row r="208" spans="3:8" s="83" customFormat="1" x14ac:dyDescent="0.2">
      <c r="C208" s="81"/>
      <c r="D208" s="81"/>
      <c r="E208" s="81"/>
      <c r="F208" s="81"/>
      <c r="G208" s="81"/>
      <c r="H208" s="81"/>
    </row>
    <row r="209" spans="3:8" s="83" customFormat="1" x14ac:dyDescent="0.2">
      <c r="C209" s="81"/>
      <c r="D209" s="81"/>
      <c r="E209" s="81"/>
      <c r="F209" s="81"/>
      <c r="G209" s="81"/>
      <c r="H209" s="81"/>
    </row>
    <row r="210" spans="3:8" s="83" customFormat="1" x14ac:dyDescent="0.2">
      <c r="C210" s="81"/>
      <c r="D210" s="81"/>
      <c r="E210" s="81"/>
      <c r="F210" s="81"/>
      <c r="G210" s="81"/>
      <c r="H210" s="81"/>
    </row>
    <row r="211" spans="3:8" s="83" customFormat="1" x14ac:dyDescent="0.2">
      <c r="C211" s="81"/>
      <c r="D211" s="81"/>
      <c r="E211" s="81"/>
      <c r="F211" s="81"/>
      <c r="G211" s="81"/>
      <c r="H211" s="81"/>
    </row>
    <row r="212" spans="3:8" s="83" customFormat="1" x14ac:dyDescent="0.2">
      <c r="C212" s="81"/>
      <c r="D212" s="81"/>
      <c r="E212" s="81"/>
      <c r="F212" s="81"/>
      <c r="G212" s="81"/>
      <c r="H212" s="81"/>
    </row>
    <row r="213" spans="3:8" s="83" customFormat="1" x14ac:dyDescent="0.2">
      <c r="C213" s="81"/>
      <c r="D213" s="81"/>
      <c r="E213" s="81"/>
      <c r="F213" s="81"/>
      <c r="G213" s="81"/>
      <c r="H213" s="81"/>
    </row>
    <row r="214" spans="3:8" s="83" customFormat="1" x14ac:dyDescent="0.2">
      <c r="C214" s="81"/>
      <c r="D214" s="81"/>
      <c r="E214" s="81"/>
      <c r="F214" s="81"/>
      <c r="G214" s="81"/>
      <c r="H214" s="81"/>
    </row>
    <row r="215" spans="3:8" s="83" customFormat="1" x14ac:dyDescent="0.2">
      <c r="C215" s="81"/>
      <c r="D215" s="81"/>
      <c r="E215" s="81"/>
      <c r="F215" s="81"/>
      <c r="G215" s="81"/>
      <c r="H215" s="81"/>
    </row>
    <row r="216" spans="3:8" s="83" customFormat="1" x14ac:dyDescent="0.2">
      <c r="C216" s="81"/>
      <c r="D216" s="81"/>
      <c r="E216" s="81"/>
      <c r="F216" s="81"/>
      <c r="G216" s="81"/>
      <c r="H216" s="81"/>
    </row>
    <row r="217" spans="3:8" s="83" customFormat="1" x14ac:dyDescent="0.2">
      <c r="C217" s="81"/>
      <c r="D217" s="81"/>
      <c r="E217" s="81"/>
      <c r="F217" s="81"/>
      <c r="G217" s="81"/>
      <c r="H217" s="81"/>
    </row>
    <row r="218" spans="3:8" s="83" customFormat="1" x14ac:dyDescent="0.2">
      <c r="C218" s="81"/>
      <c r="D218" s="81"/>
      <c r="E218" s="81"/>
      <c r="F218" s="81"/>
      <c r="G218" s="81"/>
      <c r="H218" s="81"/>
    </row>
    <row r="219" spans="3:8" s="83" customFormat="1" x14ac:dyDescent="0.2">
      <c r="C219" s="81"/>
      <c r="D219" s="81"/>
      <c r="E219" s="81"/>
      <c r="F219" s="81"/>
      <c r="G219" s="81"/>
      <c r="H219" s="81"/>
    </row>
    <row r="220" spans="3:8" s="83" customFormat="1" x14ac:dyDescent="0.2">
      <c r="C220" s="81"/>
      <c r="D220" s="81"/>
      <c r="E220" s="81"/>
      <c r="F220" s="81"/>
      <c r="G220" s="81"/>
      <c r="H220" s="81"/>
    </row>
    <row r="221" spans="3:8" s="83" customFormat="1" x14ac:dyDescent="0.2">
      <c r="C221" s="81"/>
      <c r="D221" s="81"/>
      <c r="E221" s="81"/>
      <c r="F221" s="81"/>
      <c r="G221" s="81"/>
      <c r="H221" s="81"/>
    </row>
    <row r="222" spans="3:8" s="83" customFormat="1" x14ac:dyDescent="0.2">
      <c r="C222" s="81"/>
      <c r="D222" s="81"/>
      <c r="E222" s="81"/>
      <c r="F222" s="81"/>
      <c r="G222" s="81"/>
      <c r="H222" s="81"/>
    </row>
    <row r="223" spans="3:8" s="83" customFormat="1" x14ac:dyDescent="0.2">
      <c r="C223" s="81"/>
      <c r="D223" s="81"/>
      <c r="E223" s="81"/>
      <c r="F223" s="81"/>
      <c r="G223" s="81"/>
      <c r="H223" s="81"/>
    </row>
    <row r="224" spans="3:8" s="83" customFormat="1" x14ac:dyDescent="0.2">
      <c r="C224" s="81"/>
      <c r="D224" s="81"/>
      <c r="E224" s="81"/>
      <c r="F224" s="81"/>
      <c r="G224" s="81"/>
      <c r="H224" s="81"/>
    </row>
    <row r="225" spans="3:8" s="83" customFormat="1" x14ac:dyDescent="0.2">
      <c r="C225" s="81"/>
      <c r="D225" s="81"/>
      <c r="E225" s="81"/>
      <c r="F225" s="81"/>
      <c r="G225" s="81"/>
      <c r="H225" s="81"/>
    </row>
    <row r="226" spans="3:8" s="83" customFormat="1" x14ac:dyDescent="0.2">
      <c r="C226" s="81"/>
      <c r="D226" s="81"/>
      <c r="E226" s="81"/>
      <c r="F226" s="81"/>
      <c r="G226" s="81"/>
      <c r="H226" s="81"/>
    </row>
    <row r="227" spans="3:8" s="83" customFormat="1" x14ac:dyDescent="0.2">
      <c r="C227" s="81"/>
      <c r="D227" s="81"/>
      <c r="E227" s="81"/>
      <c r="F227" s="81"/>
      <c r="G227" s="81"/>
      <c r="H227" s="81"/>
    </row>
    <row r="228" spans="3:8" s="83" customFormat="1" x14ac:dyDescent="0.2">
      <c r="C228" s="81"/>
      <c r="D228" s="81"/>
      <c r="E228" s="81"/>
      <c r="F228" s="81"/>
      <c r="G228" s="81"/>
      <c r="H228" s="81"/>
    </row>
    <row r="229" spans="3:8" s="83" customFormat="1" x14ac:dyDescent="0.2">
      <c r="C229" s="81"/>
      <c r="D229" s="81"/>
      <c r="E229" s="81"/>
      <c r="F229" s="81"/>
      <c r="G229" s="81"/>
      <c r="H229" s="81"/>
    </row>
    <row r="230" spans="3:8" s="83" customFormat="1" x14ac:dyDescent="0.2">
      <c r="C230" s="81"/>
      <c r="D230" s="81"/>
      <c r="E230" s="81"/>
      <c r="F230" s="81"/>
      <c r="G230" s="81"/>
      <c r="H230" s="81"/>
    </row>
    <row r="231" spans="3:8" s="83" customFormat="1" x14ac:dyDescent="0.2">
      <c r="C231" s="81"/>
      <c r="D231" s="81"/>
      <c r="E231" s="81"/>
      <c r="F231" s="81"/>
      <c r="G231" s="81"/>
      <c r="H231" s="81"/>
    </row>
    <row r="232" spans="3:8" s="83" customFormat="1" x14ac:dyDescent="0.2">
      <c r="C232" s="81"/>
      <c r="D232" s="81"/>
      <c r="E232" s="81"/>
      <c r="F232" s="81"/>
      <c r="G232" s="81"/>
      <c r="H232" s="81"/>
    </row>
    <row r="233" spans="3:8" s="83" customFormat="1" x14ac:dyDescent="0.2">
      <c r="C233" s="81"/>
      <c r="D233" s="81"/>
      <c r="E233" s="81"/>
      <c r="F233" s="81"/>
      <c r="G233" s="81"/>
      <c r="H233" s="81"/>
    </row>
    <row r="234" spans="3:8" s="83" customFormat="1" x14ac:dyDescent="0.2">
      <c r="C234" s="81"/>
      <c r="D234" s="81"/>
      <c r="E234" s="81"/>
      <c r="F234" s="81"/>
      <c r="G234" s="81"/>
      <c r="H234" s="81"/>
    </row>
    <row r="235" spans="3:8" s="83" customFormat="1" x14ac:dyDescent="0.2">
      <c r="C235" s="81"/>
      <c r="D235" s="81"/>
      <c r="E235" s="81"/>
      <c r="F235" s="81"/>
      <c r="G235" s="81"/>
      <c r="H235" s="81"/>
    </row>
    <row r="236" spans="3:8" s="83" customFormat="1" x14ac:dyDescent="0.2">
      <c r="C236" s="81"/>
      <c r="D236" s="81"/>
      <c r="E236" s="81"/>
      <c r="F236" s="81"/>
      <c r="G236" s="81"/>
      <c r="H236" s="81"/>
    </row>
    <row r="237" spans="3:8" s="83" customFormat="1" x14ac:dyDescent="0.2">
      <c r="C237" s="81"/>
      <c r="D237" s="81"/>
      <c r="E237" s="81"/>
      <c r="F237" s="81"/>
      <c r="G237" s="81"/>
      <c r="H237" s="81"/>
    </row>
    <row r="238" spans="3:8" s="83" customFormat="1" x14ac:dyDescent="0.2">
      <c r="C238" s="81"/>
      <c r="D238" s="81"/>
      <c r="E238" s="81"/>
      <c r="F238" s="81"/>
      <c r="G238" s="81"/>
      <c r="H238" s="81"/>
    </row>
    <row r="239" spans="3:8" s="83" customFormat="1" x14ac:dyDescent="0.2">
      <c r="C239" s="81"/>
      <c r="D239" s="81"/>
      <c r="E239" s="81"/>
      <c r="F239" s="81"/>
      <c r="G239" s="81"/>
      <c r="H239" s="81"/>
    </row>
    <row r="240" spans="3:8" s="83" customFormat="1" x14ac:dyDescent="0.2">
      <c r="C240" s="81"/>
      <c r="D240" s="81"/>
      <c r="E240" s="81"/>
      <c r="F240" s="81"/>
      <c r="G240" s="81"/>
      <c r="H240" s="81"/>
    </row>
    <row r="241" spans="3:8" s="83" customFormat="1" x14ac:dyDescent="0.2">
      <c r="C241" s="81"/>
      <c r="D241" s="81"/>
      <c r="E241" s="81"/>
      <c r="F241" s="81"/>
      <c r="G241" s="81"/>
      <c r="H241" s="81"/>
    </row>
    <row r="242" spans="3:8" s="83" customFormat="1" x14ac:dyDescent="0.2">
      <c r="C242" s="81"/>
      <c r="D242" s="81"/>
      <c r="E242" s="81"/>
      <c r="F242" s="81"/>
      <c r="G242" s="81"/>
      <c r="H242" s="81"/>
    </row>
    <row r="243" spans="3:8" s="83" customFormat="1" x14ac:dyDescent="0.2">
      <c r="C243" s="81"/>
      <c r="D243" s="81"/>
      <c r="E243" s="81"/>
      <c r="F243" s="81"/>
      <c r="G243" s="81"/>
      <c r="H243" s="81"/>
    </row>
    <row r="244" spans="3:8" s="83" customFormat="1" x14ac:dyDescent="0.2">
      <c r="C244" s="81"/>
      <c r="D244" s="81"/>
      <c r="E244" s="81"/>
      <c r="F244" s="81"/>
      <c r="G244" s="81"/>
      <c r="H244" s="81"/>
    </row>
    <row r="245" spans="3:8" s="83" customFormat="1" x14ac:dyDescent="0.2">
      <c r="C245" s="81"/>
      <c r="D245" s="81"/>
      <c r="E245" s="81"/>
      <c r="F245" s="81"/>
      <c r="G245" s="81"/>
      <c r="H245" s="81"/>
    </row>
    <row r="246" spans="3:8" s="83" customFormat="1" x14ac:dyDescent="0.2">
      <c r="C246" s="81"/>
      <c r="D246" s="81"/>
      <c r="E246" s="81"/>
      <c r="F246" s="81"/>
      <c r="G246" s="81"/>
      <c r="H246" s="81"/>
    </row>
    <row r="247" spans="3:8" s="83" customFormat="1" x14ac:dyDescent="0.2">
      <c r="C247" s="81"/>
      <c r="D247" s="81"/>
      <c r="E247" s="81"/>
      <c r="F247" s="81"/>
      <c r="G247" s="81"/>
      <c r="H247" s="81"/>
    </row>
    <row r="248" spans="3:8" s="83" customFormat="1" x14ac:dyDescent="0.2">
      <c r="C248" s="81"/>
      <c r="D248" s="81"/>
      <c r="E248" s="81"/>
      <c r="F248" s="81"/>
      <c r="G248" s="81"/>
      <c r="H248" s="81"/>
    </row>
    <row r="249" spans="3:8" s="83" customFormat="1" x14ac:dyDescent="0.2">
      <c r="C249" s="81"/>
      <c r="D249" s="81"/>
      <c r="E249" s="81"/>
      <c r="F249" s="81"/>
      <c r="G249" s="81"/>
      <c r="H249" s="81"/>
    </row>
    <row r="250" spans="3:8" s="83" customFormat="1" x14ac:dyDescent="0.2">
      <c r="C250" s="81"/>
      <c r="D250" s="81"/>
      <c r="E250" s="81"/>
      <c r="F250" s="81"/>
      <c r="G250" s="81"/>
      <c r="H250" s="81"/>
    </row>
    <row r="251" spans="3:8" s="83" customFormat="1" x14ac:dyDescent="0.2">
      <c r="C251" s="81"/>
      <c r="D251" s="81"/>
      <c r="E251" s="81"/>
      <c r="F251" s="81"/>
      <c r="G251" s="81"/>
      <c r="H251" s="81"/>
    </row>
    <row r="252" spans="3:8" s="83" customFormat="1" x14ac:dyDescent="0.2">
      <c r="C252" s="81"/>
      <c r="D252" s="81"/>
      <c r="E252" s="81"/>
      <c r="F252" s="81"/>
      <c r="G252" s="81"/>
      <c r="H252" s="81"/>
    </row>
    <row r="253" spans="3:8" s="83" customFormat="1" x14ac:dyDescent="0.2">
      <c r="C253" s="81"/>
      <c r="D253" s="81"/>
      <c r="E253" s="81"/>
      <c r="F253" s="81"/>
      <c r="G253" s="81"/>
      <c r="H253" s="81"/>
    </row>
    <row r="254" spans="3:8" s="83" customFormat="1" x14ac:dyDescent="0.2">
      <c r="C254" s="81"/>
      <c r="D254" s="81"/>
      <c r="E254" s="81"/>
      <c r="F254" s="81"/>
      <c r="G254" s="81"/>
      <c r="H254" s="81"/>
    </row>
    <row r="255" spans="3:8" s="83" customFormat="1" x14ac:dyDescent="0.2">
      <c r="C255" s="81"/>
      <c r="D255" s="81"/>
      <c r="E255" s="81"/>
      <c r="F255" s="81"/>
      <c r="G255" s="81"/>
      <c r="H255" s="81"/>
    </row>
    <row r="256" spans="3:8" s="83" customFormat="1" x14ac:dyDescent="0.2">
      <c r="C256" s="81"/>
      <c r="D256" s="81"/>
      <c r="E256" s="81"/>
      <c r="F256" s="81"/>
      <c r="G256" s="81"/>
      <c r="H256" s="81"/>
    </row>
    <row r="257" spans="3:8" s="83" customFormat="1" x14ac:dyDescent="0.2">
      <c r="C257" s="81"/>
      <c r="D257" s="81"/>
      <c r="E257" s="81"/>
      <c r="F257" s="81"/>
      <c r="G257" s="81"/>
      <c r="H257" s="81"/>
    </row>
    <row r="258" spans="3:8" s="83" customFormat="1" x14ac:dyDescent="0.2">
      <c r="C258" s="81"/>
      <c r="D258" s="81"/>
      <c r="E258" s="81"/>
      <c r="F258" s="81"/>
      <c r="G258" s="81"/>
      <c r="H258" s="81"/>
    </row>
    <row r="259" spans="3:8" s="83" customFormat="1" x14ac:dyDescent="0.2">
      <c r="C259" s="81"/>
      <c r="D259" s="81"/>
      <c r="E259" s="81"/>
      <c r="F259" s="81"/>
      <c r="G259" s="81"/>
      <c r="H259" s="81"/>
    </row>
    <row r="260" spans="3:8" s="83" customFormat="1" x14ac:dyDescent="0.2">
      <c r="C260" s="81"/>
      <c r="D260" s="81"/>
      <c r="E260" s="81"/>
      <c r="F260" s="81"/>
      <c r="G260" s="81"/>
      <c r="H260" s="81"/>
    </row>
    <row r="261" spans="3:8" s="83" customFormat="1" x14ac:dyDescent="0.2">
      <c r="C261" s="81"/>
      <c r="D261" s="81"/>
      <c r="E261" s="81"/>
      <c r="F261" s="81"/>
      <c r="G261" s="81"/>
      <c r="H261" s="81"/>
    </row>
    <row r="262" spans="3:8" s="83" customFormat="1" x14ac:dyDescent="0.2">
      <c r="C262" s="81"/>
      <c r="D262" s="81"/>
      <c r="E262" s="81"/>
      <c r="F262" s="81"/>
      <c r="G262" s="81"/>
      <c r="H262" s="81"/>
    </row>
    <row r="263" spans="3:8" s="83" customFormat="1" x14ac:dyDescent="0.2">
      <c r="C263" s="81"/>
      <c r="D263" s="81"/>
      <c r="E263" s="81"/>
      <c r="F263" s="81"/>
      <c r="G263" s="81"/>
      <c r="H263" s="81"/>
    </row>
    <row r="264" spans="3:8" s="83" customFormat="1" x14ac:dyDescent="0.2">
      <c r="C264" s="81"/>
      <c r="D264" s="81"/>
      <c r="E264" s="81"/>
      <c r="F264" s="81"/>
      <c r="G264" s="81"/>
      <c r="H264" s="81"/>
    </row>
    <row r="265" spans="3:8" s="83" customFormat="1" x14ac:dyDescent="0.2">
      <c r="C265" s="81"/>
      <c r="D265" s="81"/>
      <c r="E265" s="81"/>
      <c r="F265" s="81"/>
      <c r="G265" s="81"/>
      <c r="H265" s="81"/>
    </row>
    <row r="266" spans="3:8" s="83" customFormat="1" x14ac:dyDescent="0.2">
      <c r="C266" s="81"/>
      <c r="D266" s="81"/>
      <c r="E266" s="81"/>
      <c r="F266" s="81"/>
      <c r="G266" s="81"/>
      <c r="H266" s="81"/>
    </row>
    <row r="267" spans="3:8" s="83" customFormat="1" x14ac:dyDescent="0.2">
      <c r="C267" s="81"/>
      <c r="D267" s="81"/>
      <c r="E267" s="81"/>
      <c r="F267" s="81"/>
      <c r="G267" s="81"/>
      <c r="H267" s="81"/>
    </row>
    <row r="268" spans="3:8" s="83" customFormat="1" x14ac:dyDescent="0.2">
      <c r="C268" s="81"/>
      <c r="D268" s="81"/>
      <c r="E268" s="81"/>
      <c r="F268" s="81"/>
      <c r="G268" s="81"/>
      <c r="H268" s="81"/>
    </row>
    <row r="269" spans="3:8" s="83" customFormat="1" x14ac:dyDescent="0.2">
      <c r="C269" s="81"/>
      <c r="D269" s="81"/>
      <c r="E269" s="81"/>
      <c r="F269" s="81"/>
      <c r="G269" s="81"/>
      <c r="H269" s="81"/>
    </row>
    <row r="270" spans="3:8" s="83" customFormat="1" x14ac:dyDescent="0.2">
      <c r="C270" s="81"/>
      <c r="D270" s="81"/>
      <c r="E270" s="81"/>
      <c r="F270" s="81"/>
      <c r="G270" s="81"/>
      <c r="H270" s="81"/>
    </row>
    <row r="271" spans="3:8" s="83" customFormat="1" x14ac:dyDescent="0.2">
      <c r="C271" s="81"/>
      <c r="D271" s="81"/>
      <c r="E271" s="81"/>
      <c r="F271" s="81"/>
      <c r="G271" s="81"/>
      <c r="H271" s="81"/>
    </row>
    <row r="272" spans="3:8" s="83" customFormat="1" x14ac:dyDescent="0.2">
      <c r="C272" s="81"/>
      <c r="D272" s="81"/>
      <c r="E272" s="81"/>
      <c r="F272" s="81"/>
      <c r="G272" s="81"/>
      <c r="H272" s="81"/>
    </row>
    <row r="273" spans="3:8" s="83" customFormat="1" x14ac:dyDescent="0.2">
      <c r="C273" s="81"/>
      <c r="D273" s="81"/>
      <c r="E273" s="81"/>
      <c r="F273" s="81"/>
      <c r="G273" s="81"/>
      <c r="H273" s="81"/>
    </row>
    <row r="274" spans="3:8" s="83" customFormat="1" x14ac:dyDescent="0.2">
      <c r="C274" s="81"/>
      <c r="D274" s="81"/>
      <c r="E274" s="81"/>
      <c r="F274" s="81"/>
      <c r="G274" s="81"/>
      <c r="H274" s="81"/>
    </row>
    <row r="275" spans="3:8" s="83" customFormat="1" x14ac:dyDescent="0.2">
      <c r="C275" s="81"/>
      <c r="D275" s="81"/>
      <c r="E275" s="81"/>
      <c r="F275" s="81"/>
      <c r="G275" s="81"/>
      <c r="H275" s="81"/>
    </row>
    <row r="276" spans="3:8" s="83" customFormat="1" x14ac:dyDescent="0.2">
      <c r="C276" s="81"/>
      <c r="D276" s="81"/>
      <c r="E276" s="81"/>
      <c r="F276" s="81"/>
      <c r="G276" s="81"/>
      <c r="H276" s="81"/>
    </row>
    <row r="277" spans="3:8" s="83" customFormat="1" x14ac:dyDescent="0.2">
      <c r="C277" s="81"/>
      <c r="D277" s="81"/>
      <c r="E277" s="81"/>
      <c r="F277" s="81"/>
      <c r="G277" s="81"/>
      <c r="H277" s="81"/>
    </row>
    <row r="278" spans="3:8" s="83" customFormat="1" x14ac:dyDescent="0.2">
      <c r="C278" s="81"/>
      <c r="D278" s="81"/>
      <c r="E278" s="81"/>
      <c r="F278" s="81"/>
      <c r="G278" s="81"/>
      <c r="H278" s="81"/>
    </row>
    <row r="279" spans="3:8" s="83" customFormat="1" x14ac:dyDescent="0.2">
      <c r="C279" s="81"/>
      <c r="D279" s="81"/>
      <c r="E279" s="81"/>
      <c r="F279" s="81"/>
      <c r="G279" s="81"/>
      <c r="H279" s="81"/>
    </row>
    <row r="280" spans="3:8" s="83" customFormat="1" x14ac:dyDescent="0.2">
      <c r="C280" s="81"/>
      <c r="D280" s="81"/>
      <c r="E280" s="81"/>
      <c r="F280" s="81"/>
      <c r="G280" s="81"/>
      <c r="H280" s="81"/>
    </row>
    <row r="281" spans="3:8" s="83" customFormat="1" x14ac:dyDescent="0.2">
      <c r="C281" s="81"/>
      <c r="D281" s="81"/>
      <c r="E281" s="81"/>
      <c r="F281" s="81"/>
      <c r="G281" s="81"/>
      <c r="H281" s="81"/>
    </row>
    <row r="282" spans="3:8" s="83" customFormat="1" x14ac:dyDescent="0.2">
      <c r="C282" s="81"/>
      <c r="D282" s="81"/>
      <c r="E282" s="81"/>
      <c r="F282" s="81"/>
      <c r="G282" s="81"/>
      <c r="H282" s="81"/>
    </row>
    <row r="283" spans="3:8" s="83" customFormat="1" x14ac:dyDescent="0.2">
      <c r="C283" s="81"/>
      <c r="D283" s="81"/>
      <c r="E283" s="81"/>
      <c r="F283" s="81"/>
      <c r="G283" s="81"/>
      <c r="H283" s="81"/>
    </row>
    <row r="284" spans="3:8" s="83" customFormat="1" x14ac:dyDescent="0.2">
      <c r="C284" s="81"/>
      <c r="D284" s="81"/>
      <c r="E284" s="81"/>
      <c r="F284" s="81"/>
      <c r="G284" s="81"/>
      <c r="H284" s="81"/>
    </row>
    <row r="285" spans="3:8" s="83" customFormat="1" x14ac:dyDescent="0.2">
      <c r="C285" s="81"/>
      <c r="D285" s="81"/>
      <c r="E285" s="81"/>
      <c r="F285" s="81"/>
      <c r="G285" s="81"/>
      <c r="H285" s="81"/>
    </row>
    <row r="286" spans="3:8" s="83" customFormat="1" x14ac:dyDescent="0.2">
      <c r="C286" s="81"/>
      <c r="D286" s="81"/>
      <c r="E286" s="81"/>
      <c r="F286" s="81"/>
      <c r="G286" s="81"/>
      <c r="H286" s="81"/>
    </row>
    <row r="287" spans="3:8" s="83" customFormat="1" x14ac:dyDescent="0.2">
      <c r="C287" s="81"/>
      <c r="D287" s="81"/>
      <c r="E287" s="81"/>
      <c r="F287" s="81"/>
      <c r="G287" s="81"/>
      <c r="H287" s="81"/>
    </row>
    <row r="288" spans="3:8" s="83" customFormat="1" x14ac:dyDescent="0.2">
      <c r="C288" s="81"/>
      <c r="D288" s="81"/>
      <c r="E288" s="81"/>
      <c r="F288" s="81"/>
      <c r="G288" s="81"/>
      <c r="H288" s="81"/>
    </row>
    <row r="289" spans="3:8" s="83" customFormat="1" x14ac:dyDescent="0.2">
      <c r="C289" s="81"/>
      <c r="D289" s="81"/>
      <c r="E289" s="81"/>
      <c r="F289" s="81"/>
      <c r="G289" s="81"/>
      <c r="H289" s="81"/>
    </row>
    <row r="290" spans="3:8" s="83" customFormat="1" x14ac:dyDescent="0.2">
      <c r="C290" s="81"/>
      <c r="D290" s="81"/>
      <c r="E290" s="81"/>
      <c r="F290" s="81"/>
      <c r="G290" s="81"/>
      <c r="H290" s="81"/>
    </row>
    <row r="291" spans="3:8" s="83" customFormat="1" x14ac:dyDescent="0.2">
      <c r="C291" s="81"/>
      <c r="D291" s="81"/>
      <c r="E291" s="81"/>
      <c r="F291" s="81"/>
      <c r="G291" s="81"/>
      <c r="H291" s="81"/>
    </row>
    <row r="292" spans="3:8" s="83" customFormat="1" x14ac:dyDescent="0.2">
      <c r="C292" s="81"/>
      <c r="D292" s="81"/>
      <c r="E292" s="81"/>
      <c r="F292" s="81"/>
      <c r="G292" s="81"/>
      <c r="H292" s="81"/>
    </row>
    <row r="293" spans="3:8" s="83" customFormat="1" x14ac:dyDescent="0.2">
      <c r="C293" s="81"/>
      <c r="D293" s="81"/>
      <c r="E293" s="81"/>
      <c r="F293" s="81"/>
      <c r="G293" s="81"/>
      <c r="H293" s="81"/>
    </row>
    <row r="294" spans="3:8" s="83" customFormat="1" x14ac:dyDescent="0.2">
      <c r="C294" s="81"/>
      <c r="D294" s="81"/>
      <c r="E294" s="81"/>
      <c r="F294" s="81"/>
      <c r="G294" s="81"/>
      <c r="H294" s="81"/>
    </row>
    <row r="295" spans="3:8" s="83" customFormat="1" x14ac:dyDescent="0.2">
      <c r="C295" s="81"/>
      <c r="D295" s="81"/>
      <c r="E295" s="81"/>
      <c r="F295" s="81"/>
      <c r="G295" s="81"/>
      <c r="H295" s="81"/>
    </row>
    <row r="296" spans="3:8" s="83" customFormat="1" x14ac:dyDescent="0.2">
      <c r="C296" s="81"/>
      <c r="D296" s="81"/>
      <c r="E296" s="81"/>
      <c r="F296" s="81"/>
      <c r="G296" s="81"/>
      <c r="H296" s="81"/>
    </row>
    <row r="297" spans="3:8" s="83" customFormat="1" x14ac:dyDescent="0.2">
      <c r="C297" s="81"/>
      <c r="D297" s="81"/>
      <c r="E297" s="81"/>
      <c r="F297" s="81"/>
      <c r="G297" s="81"/>
      <c r="H297" s="81"/>
    </row>
    <row r="298" spans="3:8" s="83" customFormat="1" x14ac:dyDescent="0.2">
      <c r="C298" s="81"/>
      <c r="D298" s="81"/>
      <c r="E298" s="81"/>
      <c r="F298" s="81"/>
      <c r="G298" s="81"/>
      <c r="H298" s="81"/>
    </row>
    <row r="299" spans="3:8" s="83" customFormat="1" x14ac:dyDescent="0.2">
      <c r="C299" s="81"/>
      <c r="D299" s="81"/>
      <c r="E299" s="81"/>
      <c r="F299" s="81"/>
      <c r="G299" s="81"/>
      <c r="H299" s="81"/>
    </row>
    <row r="300" spans="3:8" s="83" customFormat="1" x14ac:dyDescent="0.2">
      <c r="C300" s="81"/>
      <c r="D300" s="81"/>
      <c r="E300" s="81"/>
      <c r="F300" s="81"/>
      <c r="G300" s="81"/>
      <c r="H300" s="81"/>
    </row>
    <row r="301" spans="3:8" s="83" customFormat="1" x14ac:dyDescent="0.2">
      <c r="C301" s="81"/>
      <c r="D301" s="81"/>
      <c r="E301" s="81"/>
      <c r="F301" s="81"/>
      <c r="G301" s="81"/>
      <c r="H301" s="81"/>
    </row>
    <row r="302" spans="3:8" s="83" customFormat="1" x14ac:dyDescent="0.2">
      <c r="C302" s="81"/>
      <c r="D302" s="81"/>
      <c r="E302" s="81"/>
      <c r="F302" s="81"/>
      <c r="G302" s="81"/>
      <c r="H302" s="81"/>
    </row>
    <row r="303" spans="3:8" s="83" customFormat="1" x14ac:dyDescent="0.2">
      <c r="C303" s="81"/>
      <c r="D303" s="81"/>
      <c r="E303" s="81"/>
      <c r="F303" s="81"/>
      <c r="G303" s="81"/>
      <c r="H303" s="81"/>
    </row>
    <row r="304" spans="3:8" s="83" customFormat="1" x14ac:dyDescent="0.2">
      <c r="C304" s="81"/>
      <c r="D304" s="81"/>
      <c r="E304" s="81"/>
      <c r="F304" s="81"/>
      <c r="G304" s="81"/>
      <c r="H304" s="81"/>
    </row>
    <row r="305" spans="3:8" s="83" customFormat="1" x14ac:dyDescent="0.2">
      <c r="C305" s="81"/>
      <c r="D305" s="81"/>
      <c r="E305" s="81"/>
      <c r="F305" s="81"/>
      <c r="G305" s="81"/>
      <c r="H305" s="81"/>
    </row>
    <row r="306" spans="3:8" s="83" customFormat="1" x14ac:dyDescent="0.2">
      <c r="C306" s="81"/>
      <c r="D306" s="81"/>
      <c r="E306" s="81"/>
      <c r="F306" s="81"/>
      <c r="G306" s="81"/>
      <c r="H306" s="81"/>
    </row>
    <row r="307" spans="3:8" s="83" customFormat="1" x14ac:dyDescent="0.2">
      <c r="C307" s="81"/>
      <c r="D307" s="81"/>
      <c r="E307" s="81"/>
      <c r="F307" s="81"/>
      <c r="G307" s="81"/>
      <c r="H307" s="81"/>
    </row>
    <row r="308" spans="3:8" s="83" customFormat="1" x14ac:dyDescent="0.2">
      <c r="C308" s="81"/>
      <c r="D308" s="81"/>
      <c r="E308" s="81"/>
      <c r="F308" s="81"/>
      <c r="G308" s="81"/>
      <c r="H308" s="81"/>
    </row>
    <row r="309" spans="3:8" s="83" customFormat="1" x14ac:dyDescent="0.2">
      <c r="C309" s="81"/>
      <c r="D309" s="81"/>
      <c r="E309" s="81"/>
      <c r="F309" s="81"/>
      <c r="G309" s="81"/>
      <c r="H309" s="81"/>
    </row>
  </sheetData>
  <mergeCells count="9">
    <mergeCell ref="BW3:BY3"/>
    <mergeCell ref="R21:S21"/>
    <mergeCell ref="R26:S26"/>
    <mergeCell ref="A2:M2"/>
    <mergeCell ref="AG2:AX2"/>
    <mergeCell ref="AY2:BD2"/>
    <mergeCell ref="Q3:S3"/>
    <mergeCell ref="AG3:AR3"/>
    <mergeCell ref="AU3:AW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09"/>
  <sheetViews>
    <sheetView workbookViewId="0">
      <selection activeCell="I49" sqref="I49"/>
    </sheetView>
  </sheetViews>
  <sheetFormatPr defaultRowHeight="12.75" x14ac:dyDescent="0.2"/>
  <cols>
    <col min="1" max="1" width="18" style="79" customWidth="1"/>
    <col min="2" max="2" width="10.140625" style="80" customWidth="1"/>
    <col min="3" max="3" width="10.85546875" style="80" bestFit="1" customWidth="1"/>
    <col min="4" max="4" width="10.5703125" style="80" customWidth="1"/>
    <col min="5" max="6" width="11.140625" style="80" bestFit="1" customWidth="1"/>
    <col min="7" max="8" width="11.28515625" style="80" bestFit="1" customWidth="1"/>
    <col min="9" max="10" width="10.140625" style="80" customWidth="1"/>
    <col min="11" max="11" width="11.140625" style="80" bestFit="1" customWidth="1"/>
    <col min="12" max="12" width="11.85546875" style="80" bestFit="1" customWidth="1"/>
    <col min="13" max="13" width="12" style="80" bestFit="1" customWidth="1"/>
    <col min="14" max="14" width="12.7109375" style="80" bestFit="1" customWidth="1"/>
    <col min="15" max="15" width="11.7109375" style="80" customWidth="1"/>
    <col min="16" max="16" width="9.42578125" style="80" hidden="1" customWidth="1"/>
    <col min="17" max="17" width="11" style="80" bestFit="1" customWidth="1"/>
    <col min="18" max="18" width="9.5703125" style="80" customWidth="1"/>
    <col min="19" max="19" width="11" style="80" bestFit="1" customWidth="1"/>
    <col min="20" max="20" width="11.140625" style="80" customWidth="1"/>
    <col min="21" max="21" width="8.7109375" style="82" customWidth="1"/>
    <col min="22" max="22" width="11.140625" style="83" bestFit="1" customWidth="1"/>
    <col min="23" max="23" width="11.42578125" style="83" bestFit="1" customWidth="1"/>
    <col min="24" max="24" width="12.140625" style="83" bestFit="1" customWidth="1"/>
    <col min="25" max="25" width="7" style="83" customWidth="1"/>
    <col min="26" max="26" width="11.42578125" style="83" bestFit="1" customWidth="1"/>
    <col min="27" max="27" width="11.140625" style="83" customWidth="1"/>
    <col min="28" max="28" width="8.85546875" style="83" bestFit="1" customWidth="1"/>
    <col min="29" max="29" width="16.5703125" style="83" bestFit="1" customWidth="1"/>
    <col min="30" max="30" width="12.140625" style="83" customWidth="1"/>
    <col min="31" max="31" width="10.140625" style="83" bestFit="1" customWidth="1"/>
    <col min="32" max="32" width="14" style="84" bestFit="1" customWidth="1"/>
    <col min="33" max="33" width="7.28515625" style="85" customWidth="1"/>
    <col min="34" max="35" width="6" style="85" customWidth="1"/>
    <col min="36" max="36" width="7.28515625" style="85" customWidth="1"/>
    <col min="37" max="37" width="6" style="85" customWidth="1"/>
    <col min="38" max="38" width="7.28515625" style="85" bestFit="1" customWidth="1"/>
    <col min="39" max="39" width="7.28515625" style="85" customWidth="1"/>
    <col min="40" max="40" width="6.85546875" style="85" customWidth="1"/>
    <col min="41" max="42" width="7.28515625" style="85" bestFit="1" customWidth="1"/>
    <col min="43" max="43" width="7.28515625" style="85" customWidth="1"/>
    <col min="44" max="44" width="7.28515625" style="85" bestFit="1" customWidth="1"/>
    <col min="45" max="45" width="6" style="85" hidden="1" customWidth="1"/>
    <col min="46" max="46" width="6.85546875" style="85" customWidth="1"/>
    <col min="47" max="47" width="7.7109375" style="85" bestFit="1" customWidth="1"/>
    <col min="48" max="48" width="8.42578125" style="85" bestFit="1" customWidth="1"/>
    <col min="49" max="49" width="7.5703125" style="85" bestFit="1" customWidth="1"/>
    <col min="50" max="50" width="8.5703125" style="85" customWidth="1"/>
    <col min="51" max="51" width="8.140625" style="85" customWidth="1"/>
    <col min="52" max="52" width="8.140625" style="83" bestFit="1" customWidth="1"/>
    <col min="53" max="54" width="7" style="83" bestFit="1" customWidth="1"/>
    <col min="55" max="55" width="8.28515625" style="83" bestFit="1" customWidth="1"/>
    <col min="56" max="56" width="8.140625" style="83" bestFit="1" customWidth="1"/>
    <col min="57" max="57" width="8.140625" style="83" customWidth="1"/>
    <col min="58" max="58" width="7.7109375" style="83" hidden="1" customWidth="1"/>
    <col min="59" max="59" width="7.7109375" style="83" customWidth="1"/>
    <col min="60" max="60" width="13.42578125" style="83" bestFit="1" customWidth="1"/>
    <col min="61" max="72" width="5.7109375" style="83" customWidth="1"/>
    <col min="73" max="73" width="6.140625" style="80" bestFit="1" customWidth="1"/>
    <col min="74" max="74" width="9.7109375" style="80" bestFit="1" customWidth="1"/>
    <col min="75" max="75" width="7.7109375" style="80" customWidth="1"/>
    <col min="76" max="76" width="9.7109375" style="80" customWidth="1"/>
    <col min="77" max="77" width="7.7109375" style="80" customWidth="1"/>
    <col min="78" max="78" width="5.7109375" style="80" customWidth="1"/>
    <col min="79" max="80" width="8.28515625" style="83" bestFit="1" customWidth="1"/>
    <col min="81" max="81" width="6.5703125" style="83" bestFit="1" customWidth="1"/>
    <col min="82" max="82" width="7.140625" style="83" bestFit="1" customWidth="1"/>
    <col min="83" max="83" width="7.140625" style="83" customWidth="1"/>
    <col min="84" max="84" width="7.85546875" style="83" bestFit="1" customWidth="1"/>
    <col min="85" max="86" width="8.85546875" style="83" bestFit="1" customWidth="1"/>
    <col min="87" max="90" width="9.28515625" style="83" bestFit="1" customWidth="1"/>
    <col min="91" max="100" width="9.140625" style="83"/>
    <col min="101" max="103" width="10" style="83" bestFit="1" customWidth="1"/>
    <col min="104" max="16384" width="9.140625" style="83"/>
  </cols>
  <sheetData>
    <row r="1" spans="1:90" ht="13.5" thickBot="1" x14ac:dyDescent="0.25">
      <c r="N1" s="81"/>
      <c r="O1" s="81"/>
    </row>
    <row r="2" spans="1:90" ht="13.5" thickBot="1" x14ac:dyDescent="0.25">
      <c r="A2" s="443" t="s">
        <v>32</v>
      </c>
      <c r="B2" s="444"/>
      <c r="C2" s="444"/>
      <c r="D2" s="444"/>
      <c r="E2" s="444"/>
      <c r="F2" s="444"/>
      <c r="G2" s="444"/>
      <c r="H2" s="444"/>
      <c r="I2" s="444"/>
      <c r="J2" s="444"/>
      <c r="K2" s="444"/>
      <c r="L2" s="444"/>
      <c r="M2" s="444"/>
      <c r="N2" s="86"/>
      <c r="O2" s="87"/>
      <c r="P2" s="88"/>
      <c r="Q2" s="88"/>
      <c r="R2" s="88"/>
      <c r="S2" s="87"/>
      <c r="T2" s="89"/>
      <c r="U2" s="89"/>
      <c r="V2" s="90"/>
      <c r="W2" s="90"/>
      <c r="X2" s="90"/>
      <c r="Y2" s="90"/>
      <c r="Z2" s="90"/>
      <c r="AA2" s="91"/>
      <c r="AB2" s="92"/>
      <c r="AC2" s="90"/>
      <c r="AD2" s="93"/>
      <c r="AE2" s="94"/>
      <c r="AF2" s="95"/>
      <c r="AG2" s="445" t="s">
        <v>33</v>
      </c>
      <c r="AH2" s="446"/>
      <c r="AI2" s="446"/>
      <c r="AJ2" s="446"/>
      <c r="AK2" s="446"/>
      <c r="AL2" s="446"/>
      <c r="AM2" s="446"/>
      <c r="AN2" s="446"/>
      <c r="AO2" s="446"/>
      <c r="AP2" s="446"/>
      <c r="AQ2" s="446"/>
      <c r="AR2" s="446"/>
      <c r="AS2" s="446"/>
      <c r="AT2" s="446"/>
      <c r="AU2" s="446"/>
      <c r="AV2" s="446"/>
      <c r="AW2" s="446"/>
      <c r="AX2" s="447"/>
      <c r="AY2" s="448" t="s">
        <v>34</v>
      </c>
      <c r="AZ2" s="449"/>
      <c r="BA2" s="449"/>
      <c r="BB2" s="449"/>
      <c r="BC2" s="449"/>
      <c r="BD2" s="450"/>
      <c r="BE2" s="96" t="s">
        <v>35</v>
      </c>
      <c r="BF2" s="97"/>
      <c r="BG2" s="97"/>
      <c r="BH2" s="98"/>
      <c r="BI2" s="99"/>
      <c r="BJ2" s="99"/>
      <c r="BK2" s="99"/>
      <c r="BL2" s="99"/>
      <c r="BM2" s="99"/>
      <c r="BN2" s="99"/>
      <c r="BO2" s="99"/>
      <c r="BP2" s="99"/>
      <c r="BQ2" s="99"/>
      <c r="BR2" s="99"/>
      <c r="BS2" s="99"/>
      <c r="BT2" s="99"/>
      <c r="BU2" s="99"/>
      <c r="BV2" s="99"/>
      <c r="BW2" s="99"/>
      <c r="BX2" s="99"/>
      <c r="BY2" s="99"/>
      <c r="BZ2" s="99"/>
      <c r="CA2" s="99"/>
      <c r="CB2" s="99"/>
      <c r="CC2" s="99"/>
      <c r="CD2" s="99"/>
      <c r="CE2" s="99"/>
      <c r="CF2" s="99"/>
      <c r="CG2" s="99" t="s">
        <v>36</v>
      </c>
      <c r="CH2" s="100" t="s">
        <v>36</v>
      </c>
      <c r="CI2" s="101" t="s">
        <v>36</v>
      </c>
      <c r="CJ2" s="102" t="s">
        <v>36</v>
      </c>
      <c r="CK2" s="103" t="s">
        <v>36</v>
      </c>
    </row>
    <row r="3" spans="1:90" x14ac:dyDescent="0.2">
      <c r="A3" s="104"/>
      <c r="B3" s="81"/>
      <c r="C3" s="81"/>
      <c r="D3" s="81"/>
      <c r="E3" s="81"/>
      <c r="F3" s="81"/>
      <c r="G3" s="81"/>
      <c r="H3" s="81"/>
      <c r="I3" s="81"/>
      <c r="J3" s="81"/>
      <c r="K3" s="81"/>
      <c r="L3" s="81"/>
      <c r="M3" s="81"/>
      <c r="N3" s="81"/>
      <c r="O3" s="105"/>
      <c r="P3" s="97"/>
      <c r="Q3" s="451" t="s">
        <v>37</v>
      </c>
      <c r="R3" s="451"/>
      <c r="S3" s="452"/>
      <c r="T3" s="106" t="s">
        <v>38</v>
      </c>
      <c r="U3" s="106" t="s">
        <v>39</v>
      </c>
      <c r="V3" s="107"/>
      <c r="W3" s="107"/>
      <c r="X3" s="107"/>
      <c r="Y3" s="107"/>
      <c r="Z3" s="107"/>
      <c r="AA3" s="108"/>
      <c r="AB3" s="106" t="s">
        <v>39</v>
      </c>
      <c r="AC3" s="107" t="s">
        <v>40</v>
      </c>
      <c r="AD3" s="108" t="s">
        <v>40</v>
      </c>
      <c r="AE3" s="109"/>
      <c r="AF3" s="110"/>
      <c r="AG3" s="453" t="s">
        <v>41</v>
      </c>
      <c r="AH3" s="454"/>
      <c r="AI3" s="454"/>
      <c r="AJ3" s="454"/>
      <c r="AK3" s="454"/>
      <c r="AL3" s="454"/>
      <c r="AM3" s="454"/>
      <c r="AN3" s="454"/>
      <c r="AO3" s="454"/>
      <c r="AP3" s="454"/>
      <c r="AQ3" s="454"/>
      <c r="AR3" s="454"/>
      <c r="AS3" s="111"/>
      <c r="AT3" s="111"/>
      <c r="AU3" s="455" t="s">
        <v>37</v>
      </c>
      <c r="AV3" s="455"/>
      <c r="AW3" s="456"/>
      <c r="AX3" s="112" t="s">
        <v>4</v>
      </c>
      <c r="AY3" s="113"/>
      <c r="AZ3" s="107"/>
      <c r="BA3" s="107"/>
      <c r="BB3" s="107"/>
      <c r="BC3" s="114"/>
      <c r="BD3" s="115" t="s">
        <v>4</v>
      </c>
      <c r="BE3" s="116" t="s">
        <v>4</v>
      </c>
      <c r="BF3" s="97"/>
      <c r="BG3" s="97"/>
      <c r="BH3" s="117" t="s">
        <v>42</v>
      </c>
      <c r="BI3" s="99"/>
      <c r="BJ3" s="99"/>
      <c r="BK3" s="99"/>
      <c r="BL3" s="99"/>
      <c r="BM3" s="99"/>
      <c r="BN3" s="99"/>
      <c r="BO3" s="99"/>
      <c r="BP3" s="99"/>
      <c r="BQ3" s="99"/>
      <c r="BR3" s="99"/>
      <c r="BS3" s="99"/>
      <c r="BT3" s="99"/>
      <c r="BU3" s="100"/>
      <c r="BV3" s="118"/>
      <c r="BW3" s="119" t="s">
        <v>37</v>
      </c>
      <c r="BX3" s="119"/>
      <c r="BY3" s="120"/>
      <c r="BZ3" s="121" t="s">
        <v>4</v>
      </c>
      <c r="CA3" s="122"/>
      <c r="CB3" s="90"/>
      <c r="CC3" s="90"/>
      <c r="CD3" s="90"/>
      <c r="CE3" s="90"/>
      <c r="CF3" s="123" t="s">
        <v>4</v>
      </c>
      <c r="CG3" s="124" t="s">
        <v>43</v>
      </c>
      <c r="CH3" s="96" t="s">
        <v>43</v>
      </c>
      <c r="CI3" s="125" t="s">
        <v>44</v>
      </c>
      <c r="CJ3" s="99" t="s">
        <v>44</v>
      </c>
      <c r="CK3" s="100" t="s">
        <v>44</v>
      </c>
    </row>
    <row r="4" spans="1:90" s="80" customFormat="1" x14ac:dyDescent="0.2">
      <c r="A4" s="104"/>
      <c r="B4" s="81" t="s">
        <v>45</v>
      </c>
      <c r="C4" s="81" t="s">
        <v>46</v>
      </c>
      <c r="D4" s="81" t="s">
        <v>47</v>
      </c>
      <c r="E4" s="81" t="s">
        <v>48</v>
      </c>
      <c r="F4" s="81" t="s">
        <v>49</v>
      </c>
      <c r="G4" s="81" t="s">
        <v>50</v>
      </c>
      <c r="H4" s="81" t="s">
        <v>51</v>
      </c>
      <c r="I4" s="81" t="s">
        <v>52</v>
      </c>
      <c r="J4" s="81" t="s">
        <v>53</v>
      </c>
      <c r="K4" s="81" t="s">
        <v>54</v>
      </c>
      <c r="L4" s="81" t="s">
        <v>55</v>
      </c>
      <c r="M4" s="81" t="s">
        <v>56</v>
      </c>
      <c r="N4" s="81" t="s">
        <v>57</v>
      </c>
      <c r="O4" s="126" t="s">
        <v>58</v>
      </c>
      <c r="P4" s="111"/>
      <c r="Q4" s="111"/>
      <c r="R4" s="111" t="s">
        <v>59</v>
      </c>
      <c r="S4" s="105" t="s">
        <v>4</v>
      </c>
      <c r="T4" s="106" t="s">
        <v>4</v>
      </c>
      <c r="U4" s="106" t="s">
        <v>4</v>
      </c>
      <c r="V4" s="107" t="s">
        <v>60</v>
      </c>
      <c r="W4" s="107" t="s">
        <v>60</v>
      </c>
      <c r="X4" s="107" t="s">
        <v>61</v>
      </c>
      <c r="Y4" s="107" t="s">
        <v>62</v>
      </c>
      <c r="Z4" s="107" t="s">
        <v>63</v>
      </c>
      <c r="AA4" s="108" t="s">
        <v>4</v>
      </c>
      <c r="AB4" s="106" t="s">
        <v>4</v>
      </c>
      <c r="AC4" s="107" t="s">
        <v>64</v>
      </c>
      <c r="AD4" s="108" t="s">
        <v>64</v>
      </c>
      <c r="AE4" s="81"/>
      <c r="AF4" s="110"/>
      <c r="AG4" s="127" t="s">
        <v>65</v>
      </c>
      <c r="AH4" s="128" t="s">
        <v>65</v>
      </c>
      <c r="AI4" s="128" t="s">
        <v>65</v>
      </c>
      <c r="AJ4" s="128" t="s">
        <v>65</v>
      </c>
      <c r="AK4" s="128" t="s">
        <v>65</v>
      </c>
      <c r="AL4" s="128" t="s">
        <v>65</v>
      </c>
      <c r="AM4" s="128" t="s">
        <v>65</v>
      </c>
      <c r="AN4" s="128" t="s">
        <v>65</v>
      </c>
      <c r="AO4" s="128" t="s">
        <v>65</v>
      </c>
      <c r="AP4" s="128" t="s">
        <v>65</v>
      </c>
      <c r="AQ4" s="128" t="s">
        <v>65</v>
      </c>
      <c r="AR4" s="128" t="s">
        <v>65</v>
      </c>
      <c r="AS4" s="111" t="s">
        <v>66</v>
      </c>
      <c r="AT4" s="129" t="s">
        <v>65</v>
      </c>
      <c r="AU4" s="111"/>
      <c r="AV4" s="130" t="s">
        <v>59</v>
      </c>
      <c r="AW4" s="131" t="s">
        <v>4</v>
      </c>
      <c r="AX4" s="112" t="s">
        <v>41</v>
      </c>
      <c r="AY4" s="113" t="s">
        <v>60</v>
      </c>
      <c r="AZ4" s="107" t="s">
        <v>60</v>
      </c>
      <c r="BA4" s="107" t="s">
        <v>61</v>
      </c>
      <c r="BB4" s="107" t="s">
        <v>62</v>
      </c>
      <c r="BC4" s="114" t="s">
        <v>63</v>
      </c>
      <c r="BD4" s="115" t="s">
        <v>5</v>
      </c>
      <c r="BE4" s="116" t="s">
        <v>67</v>
      </c>
      <c r="BF4" s="111"/>
      <c r="BG4" s="111"/>
      <c r="BH4" s="132" t="s">
        <v>36</v>
      </c>
      <c r="BI4" s="81" t="s">
        <v>65</v>
      </c>
      <c r="BJ4" s="81" t="s">
        <v>65</v>
      </c>
      <c r="BK4" s="81" t="s">
        <v>65</v>
      </c>
      <c r="BL4" s="81" t="s">
        <v>65</v>
      </c>
      <c r="BM4" s="81" t="s">
        <v>65</v>
      </c>
      <c r="BN4" s="81" t="s">
        <v>65</v>
      </c>
      <c r="BO4" s="81" t="s">
        <v>65</v>
      </c>
      <c r="BP4" s="81" t="s">
        <v>65</v>
      </c>
      <c r="BQ4" s="81" t="s">
        <v>65</v>
      </c>
      <c r="BR4" s="81" t="s">
        <v>65</v>
      </c>
      <c r="BS4" s="81" t="s">
        <v>65</v>
      </c>
      <c r="BT4" s="81" t="s">
        <v>65</v>
      </c>
      <c r="BU4" s="133" t="s">
        <v>65</v>
      </c>
      <c r="BV4" s="134" t="s">
        <v>66</v>
      </c>
      <c r="BW4" s="111"/>
      <c r="BX4" s="111" t="s">
        <v>59</v>
      </c>
      <c r="BY4" s="105" t="s">
        <v>4</v>
      </c>
      <c r="BZ4" s="106" t="s">
        <v>41</v>
      </c>
      <c r="CA4" s="135" t="s">
        <v>60</v>
      </c>
      <c r="CB4" s="107" t="s">
        <v>60</v>
      </c>
      <c r="CC4" s="107" t="s">
        <v>61</v>
      </c>
      <c r="CD4" s="107" t="s">
        <v>62</v>
      </c>
      <c r="CE4" s="114" t="s">
        <v>63</v>
      </c>
      <c r="CF4" s="114" t="s">
        <v>5</v>
      </c>
      <c r="CG4" s="136" t="s">
        <v>68</v>
      </c>
      <c r="CH4" s="116" t="s">
        <v>68</v>
      </c>
      <c r="CI4" s="137" t="s">
        <v>41</v>
      </c>
      <c r="CJ4" s="81" t="s">
        <v>5</v>
      </c>
      <c r="CK4" s="133" t="s">
        <v>4</v>
      </c>
    </row>
    <row r="5" spans="1:90" ht="13.5" thickBot="1" x14ac:dyDescent="0.25">
      <c r="A5" s="138"/>
      <c r="B5" s="139"/>
      <c r="C5" s="139"/>
      <c r="D5" s="139"/>
      <c r="E5" s="139"/>
      <c r="F5" s="139"/>
      <c r="G5" s="139"/>
      <c r="H5" s="139"/>
      <c r="I5" s="139"/>
      <c r="J5" s="139"/>
      <c r="K5" s="139"/>
      <c r="L5" s="139"/>
      <c r="M5" s="139"/>
      <c r="N5" s="139"/>
      <c r="O5" s="140" t="s">
        <v>69</v>
      </c>
      <c r="P5" s="141" t="s">
        <v>70</v>
      </c>
      <c r="Q5" s="141" t="s">
        <v>71</v>
      </c>
      <c r="R5" s="141" t="s">
        <v>71</v>
      </c>
      <c r="S5" s="142" t="s">
        <v>69</v>
      </c>
      <c r="T5" s="143" t="s">
        <v>69</v>
      </c>
      <c r="U5" s="143" t="s">
        <v>69</v>
      </c>
      <c r="V5" s="144" t="s">
        <v>72</v>
      </c>
      <c r="W5" s="144" t="s">
        <v>73</v>
      </c>
      <c r="X5" s="144"/>
      <c r="Y5" s="144" t="s">
        <v>74</v>
      </c>
      <c r="Z5" s="144" t="s">
        <v>75</v>
      </c>
      <c r="AA5" s="145" t="s">
        <v>69</v>
      </c>
      <c r="AB5" s="143" t="s">
        <v>69</v>
      </c>
      <c r="AC5" s="144" t="s">
        <v>38</v>
      </c>
      <c r="AD5" s="145" t="s">
        <v>76</v>
      </c>
      <c r="AE5" s="109"/>
      <c r="AF5" s="146"/>
      <c r="AG5" s="147">
        <v>1</v>
      </c>
      <c r="AH5" s="148">
        <v>2</v>
      </c>
      <c r="AI5" s="148">
        <v>4</v>
      </c>
      <c r="AJ5" s="148">
        <v>5</v>
      </c>
      <c r="AK5" s="148">
        <v>6</v>
      </c>
      <c r="AL5" s="148">
        <v>7</v>
      </c>
      <c r="AM5" s="148">
        <v>8</v>
      </c>
      <c r="AN5" s="148">
        <v>9</v>
      </c>
      <c r="AO5" s="148">
        <v>10</v>
      </c>
      <c r="AP5" s="148">
        <v>11</v>
      </c>
      <c r="AQ5" s="148">
        <v>12</v>
      </c>
      <c r="AR5" s="148">
        <v>14</v>
      </c>
      <c r="AS5" s="141" t="s">
        <v>70</v>
      </c>
      <c r="AT5" s="149">
        <v>15</v>
      </c>
      <c r="AU5" s="141" t="s">
        <v>71</v>
      </c>
      <c r="AV5" s="141" t="s">
        <v>71</v>
      </c>
      <c r="AW5" s="149" t="s">
        <v>69</v>
      </c>
      <c r="AX5" s="150" t="s">
        <v>69</v>
      </c>
      <c r="AY5" s="151" t="s">
        <v>72</v>
      </c>
      <c r="AZ5" s="144" t="s">
        <v>73</v>
      </c>
      <c r="BA5" s="144"/>
      <c r="BB5" s="144" t="s">
        <v>74</v>
      </c>
      <c r="BC5" s="152" t="s">
        <v>75</v>
      </c>
      <c r="BD5" s="153" t="s">
        <v>69</v>
      </c>
      <c r="BE5" s="154" t="s">
        <v>76</v>
      </c>
      <c r="BF5" s="111"/>
      <c r="BG5" s="111"/>
      <c r="BH5" s="155"/>
      <c r="BI5" s="139">
        <v>1</v>
      </c>
      <c r="BJ5" s="139">
        <v>2</v>
      </c>
      <c r="BK5" s="139">
        <v>4</v>
      </c>
      <c r="BL5" s="139">
        <v>5</v>
      </c>
      <c r="BM5" s="139">
        <v>6</v>
      </c>
      <c r="BN5" s="139">
        <v>7</v>
      </c>
      <c r="BO5" s="139">
        <v>8</v>
      </c>
      <c r="BP5" s="139">
        <v>9</v>
      </c>
      <c r="BQ5" s="139">
        <v>10</v>
      </c>
      <c r="BR5" s="139">
        <v>11</v>
      </c>
      <c r="BS5" s="139">
        <v>12</v>
      </c>
      <c r="BT5" s="139">
        <v>14</v>
      </c>
      <c r="BU5" s="140">
        <v>15</v>
      </c>
      <c r="BV5" s="156" t="s">
        <v>70</v>
      </c>
      <c r="BW5" s="141" t="s">
        <v>71</v>
      </c>
      <c r="BX5" s="141" t="s">
        <v>71</v>
      </c>
      <c r="BY5" s="142" t="s">
        <v>69</v>
      </c>
      <c r="BZ5" s="143" t="s">
        <v>43</v>
      </c>
      <c r="CA5" s="157" t="s">
        <v>72</v>
      </c>
      <c r="CB5" s="144" t="s">
        <v>73</v>
      </c>
      <c r="CC5" s="144"/>
      <c r="CD5" s="144" t="s">
        <v>74</v>
      </c>
      <c r="CE5" s="152" t="s">
        <v>75</v>
      </c>
      <c r="CF5" s="152" t="s">
        <v>69</v>
      </c>
      <c r="CG5" s="158" t="s">
        <v>77</v>
      </c>
      <c r="CH5" s="145" t="s">
        <v>76</v>
      </c>
      <c r="CI5" s="159" t="s">
        <v>78</v>
      </c>
      <c r="CJ5" s="139" t="s">
        <v>78</v>
      </c>
      <c r="CK5" s="140" t="s">
        <v>78</v>
      </c>
    </row>
    <row r="6" spans="1:90" x14ac:dyDescent="0.2">
      <c r="A6" s="160">
        <v>41640</v>
      </c>
      <c r="B6" s="161">
        <v>5955000</v>
      </c>
      <c r="C6" s="161">
        <v>0</v>
      </c>
      <c r="D6" s="161">
        <v>0</v>
      </c>
      <c r="E6" s="304">
        <v>12060000</v>
      </c>
      <c r="F6" s="161">
        <v>3675100</v>
      </c>
      <c r="G6" s="161">
        <v>11547000</v>
      </c>
      <c r="H6" s="161">
        <v>7781000</v>
      </c>
      <c r="I6" s="304">
        <v>1736000</v>
      </c>
      <c r="J6" s="161">
        <v>9007000</v>
      </c>
      <c r="K6" s="161">
        <v>5298000</v>
      </c>
      <c r="L6" s="304">
        <v>0</v>
      </c>
      <c r="M6" s="161">
        <v>7309800</v>
      </c>
      <c r="N6" s="161">
        <v>0</v>
      </c>
      <c r="O6" s="162">
        <f>SUM(B6:N6)</f>
        <v>64368900</v>
      </c>
      <c r="P6" s="163">
        <v>0</v>
      </c>
      <c r="Q6" s="161">
        <v>1340000</v>
      </c>
      <c r="R6" s="161">
        <v>312480</v>
      </c>
      <c r="S6" s="162">
        <f t="shared" ref="S6:S19" si="0">+Q6+R6</f>
        <v>1652480</v>
      </c>
      <c r="T6" s="164">
        <f>+O6+S6</f>
        <v>66021380</v>
      </c>
      <c r="U6" s="165">
        <f t="shared" ref="U6:U17" si="1">+T6/325872</f>
        <v>202.59911867236215</v>
      </c>
      <c r="V6" s="161">
        <v>0</v>
      </c>
      <c r="W6" s="161">
        <v>26407500</v>
      </c>
      <c r="X6" s="161">
        <v>34287750</v>
      </c>
      <c r="Y6" s="161">
        <v>0</v>
      </c>
      <c r="Z6" s="161">
        <v>0</v>
      </c>
      <c r="AA6" s="166">
        <f t="shared" ref="AA6:AA17" si="2">SUM(V6:Z6)</f>
        <v>60695250</v>
      </c>
      <c r="AB6" s="165">
        <f t="shared" ref="AB6:AB17" si="3">+AA6/325872</f>
        <v>186.25487921637944</v>
      </c>
      <c r="AC6" s="161">
        <f t="shared" ref="AC6:AC17" si="4">+AA6+T6</f>
        <v>126716630</v>
      </c>
      <c r="AD6" s="167">
        <f t="shared" ref="AD6:AD18" si="5">+AC6/325872</f>
        <v>388.85399788874162</v>
      </c>
      <c r="AE6" s="168"/>
      <c r="AF6" s="110">
        <f t="shared" ref="AF6:AF17" si="6">+A6</f>
        <v>41640</v>
      </c>
      <c r="AG6" s="169">
        <f t="shared" ref="AG6:AR17" si="7">+B6/325872</f>
        <v>18.274046251288851</v>
      </c>
      <c r="AH6" s="170">
        <f t="shared" si="7"/>
        <v>0</v>
      </c>
      <c r="AI6" s="170">
        <f t="shared" si="7"/>
        <v>0</v>
      </c>
      <c r="AJ6" s="170">
        <f t="shared" si="7"/>
        <v>37.008395934600088</v>
      </c>
      <c r="AK6" s="170">
        <f t="shared" si="7"/>
        <v>11.277740953503216</v>
      </c>
      <c r="AL6" s="170">
        <f t="shared" si="7"/>
        <v>35.434158197083519</v>
      </c>
      <c r="AM6" s="170">
        <f t="shared" si="7"/>
        <v>23.877473363774733</v>
      </c>
      <c r="AN6" s="170">
        <f t="shared" si="7"/>
        <v>5.3272450532724509</v>
      </c>
      <c r="AO6" s="170">
        <f t="shared" si="7"/>
        <v>27.639686748171062</v>
      </c>
      <c r="AP6" s="170">
        <f t="shared" si="7"/>
        <v>16.257917219030784</v>
      </c>
      <c r="AQ6" s="170">
        <f t="shared" si="7"/>
        <v>0</v>
      </c>
      <c r="AR6" s="170">
        <f t="shared" si="7"/>
        <v>22.431506849315067</v>
      </c>
      <c r="AS6" s="170">
        <f t="shared" ref="AS6:AS17" si="8">+P6/325872</f>
        <v>0</v>
      </c>
      <c r="AT6" s="171">
        <f t="shared" ref="AT6:AT17" si="9">+N6/325872</f>
        <v>0</v>
      </c>
      <c r="AU6" s="170">
        <f t="shared" ref="AU6:AV17" si="10">+Q6/325872</f>
        <v>4.1120439927333434</v>
      </c>
      <c r="AV6" s="170">
        <f t="shared" si="10"/>
        <v>0.95890410958904104</v>
      </c>
      <c r="AW6" s="171">
        <f t="shared" ref="AW6:AW17" si="11">SUM(AU6:AV6)</f>
        <v>5.0709481023223848</v>
      </c>
      <c r="AX6" s="172">
        <f t="shared" ref="AX6:AX17" si="12">SUM(AG6:AV6)</f>
        <v>202.59911867236218</v>
      </c>
      <c r="AY6" s="170">
        <f t="shared" ref="AY6:BC17" si="13">+V6/325872</f>
        <v>0</v>
      </c>
      <c r="AZ6" s="170">
        <f t="shared" si="13"/>
        <v>81.036419207541613</v>
      </c>
      <c r="BA6" s="170">
        <f t="shared" si="13"/>
        <v>105.21846000883782</v>
      </c>
      <c r="BB6" s="170">
        <f t="shared" si="13"/>
        <v>0</v>
      </c>
      <c r="BC6" s="170">
        <f t="shared" si="13"/>
        <v>0</v>
      </c>
      <c r="BD6" s="172">
        <f t="shared" ref="BD6:BD17" si="14">SUM(AY6:BC6)</f>
        <v>186.25487921637944</v>
      </c>
      <c r="BE6" s="173">
        <f t="shared" ref="BE6:BE17" si="15">+BD6+AX6</f>
        <v>388.85399788874162</v>
      </c>
      <c r="BF6" s="136"/>
      <c r="BG6" s="136"/>
      <c r="BH6" s="174">
        <f>+A6</f>
        <v>41640</v>
      </c>
      <c r="BI6" s="175">
        <f t="shared" ref="BI6:BU6" si="16">+B6/(31*1000000)</f>
        <v>0.1920967741935484</v>
      </c>
      <c r="BJ6" s="175">
        <f t="shared" si="16"/>
        <v>0</v>
      </c>
      <c r="BK6" s="175">
        <f t="shared" si="16"/>
        <v>0</v>
      </c>
      <c r="BL6" s="175">
        <f t="shared" si="16"/>
        <v>0.38903225806451613</v>
      </c>
      <c r="BM6" s="175">
        <f t="shared" si="16"/>
        <v>0.1185516129032258</v>
      </c>
      <c r="BN6" s="175">
        <f t="shared" si="16"/>
        <v>0.37248387096774194</v>
      </c>
      <c r="BO6" s="175">
        <f t="shared" si="16"/>
        <v>0.251</v>
      </c>
      <c r="BP6" s="175">
        <f t="shared" si="16"/>
        <v>5.6000000000000001E-2</v>
      </c>
      <c r="BQ6" s="175">
        <f t="shared" si="16"/>
        <v>0.29054838709677422</v>
      </c>
      <c r="BR6" s="175">
        <f t="shared" si="16"/>
        <v>0.17090322580645162</v>
      </c>
      <c r="BS6" s="175">
        <f t="shared" si="16"/>
        <v>0</v>
      </c>
      <c r="BT6" s="175">
        <f t="shared" si="16"/>
        <v>0.23580000000000001</v>
      </c>
      <c r="BU6" s="176">
        <f t="shared" si="16"/>
        <v>0</v>
      </c>
      <c r="BV6" s="177">
        <f>+P6/(31*1000000)</f>
        <v>0</v>
      </c>
      <c r="BW6" s="178">
        <f>+Q6/(31*1000000)</f>
        <v>4.3225806451612905E-2</v>
      </c>
      <c r="BX6" s="178">
        <f>+R6/(31*1000000)</f>
        <v>1.008E-2</v>
      </c>
      <c r="BY6" s="179">
        <f>SUM(BV6:BX6)</f>
        <v>5.3305806451612904E-2</v>
      </c>
      <c r="BZ6" s="180">
        <f>SUM(BI6:BT6)+BY6</f>
        <v>2.1297219354838708</v>
      </c>
      <c r="CA6" s="177">
        <f>+V6/(31*1000000)</f>
        <v>0</v>
      </c>
      <c r="CB6" s="178">
        <f>+W6/(31*1000000)</f>
        <v>0.85185483870967738</v>
      </c>
      <c r="CC6" s="178">
        <f>+X6/(31*1000000)</f>
        <v>1.1060564516129032</v>
      </c>
      <c r="CD6" s="178">
        <f>+Y6/(31*1000000)</f>
        <v>0</v>
      </c>
      <c r="CE6" s="178">
        <f>+Z6/(31*1000000)</f>
        <v>0</v>
      </c>
      <c r="CF6" s="178">
        <f t="shared" ref="CF6:CF17" si="17">SUM(CA6:CE6)</f>
        <v>1.9579112903225806</v>
      </c>
      <c r="CG6" s="178">
        <f t="shared" ref="CG6:CG19" si="18">+CF6+BZ6</f>
        <v>4.0876332258064512</v>
      </c>
      <c r="CH6" s="179">
        <f t="shared" ref="CH6:CH17" si="19">+CG6/(325872/1000000)</f>
        <v>12.543677351249727</v>
      </c>
      <c r="CI6" s="177">
        <f t="shared" ref="CI6:CI17" si="20">(+BZ6*1000000)/646272</f>
        <v>3.295395646854375</v>
      </c>
      <c r="CJ6" s="178">
        <f t="shared" ref="CJ6:CK17" si="21">(+CF6*1000000)/646272</f>
        <v>3.0295468321737298</v>
      </c>
      <c r="CK6" s="179">
        <f t="shared" si="21"/>
        <v>6.3249424790281044</v>
      </c>
      <c r="CL6" s="181"/>
    </row>
    <row r="7" spans="1:90" x14ac:dyDescent="0.2">
      <c r="A7" s="160">
        <f t="shared" ref="A7:A17" si="22">31+A6</f>
        <v>41671</v>
      </c>
      <c r="B7" s="161">
        <v>4042500</v>
      </c>
      <c r="C7" s="161">
        <v>0</v>
      </c>
      <c r="D7" s="80">
        <v>0</v>
      </c>
      <c r="E7" s="304">
        <v>10375000</v>
      </c>
      <c r="F7" s="161">
        <v>3220000</v>
      </c>
      <c r="G7" s="161">
        <v>8838000</v>
      </c>
      <c r="H7" s="161">
        <v>6754000</v>
      </c>
      <c r="I7" s="304">
        <v>0</v>
      </c>
      <c r="J7" s="161">
        <v>7941000</v>
      </c>
      <c r="K7" s="161">
        <v>4672000</v>
      </c>
      <c r="L7" s="304">
        <v>0</v>
      </c>
      <c r="M7" s="161">
        <v>6374400</v>
      </c>
      <c r="N7" s="161">
        <v>0</v>
      </c>
      <c r="O7" s="162">
        <f>SUM(B7:N7)</f>
        <v>52216900</v>
      </c>
      <c r="P7" s="163">
        <v>0</v>
      </c>
      <c r="Q7" s="161">
        <v>1220000</v>
      </c>
      <c r="R7" s="161">
        <v>241920</v>
      </c>
      <c r="S7" s="162">
        <f t="shared" si="0"/>
        <v>1461920</v>
      </c>
      <c r="T7" s="164">
        <f t="shared" ref="T7:T19" si="23">+O7+S7</f>
        <v>53678820</v>
      </c>
      <c r="U7" s="165">
        <f t="shared" si="1"/>
        <v>164.72363381941375</v>
      </c>
      <c r="V7" s="161">
        <v>0</v>
      </c>
      <c r="W7" s="161">
        <v>18308796</v>
      </c>
      <c r="X7" s="161">
        <v>25153744</v>
      </c>
      <c r="Y7" s="161">
        <v>0</v>
      </c>
      <c r="Z7" s="161">
        <v>0</v>
      </c>
      <c r="AA7" s="166">
        <f t="shared" si="2"/>
        <v>43462540</v>
      </c>
      <c r="AB7" s="165">
        <f t="shared" si="3"/>
        <v>133.37304217606913</v>
      </c>
      <c r="AC7" s="161">
        <f t="shared" si="4"/>
        <v>97141360</v>
      </c>
      <c r="AD7" s="167">
        <f t="shared" si="5"/>
        <v>298.09667599548288</v>
      </c>
      <c r="AE7" s="168"/>
      <c r="AF7" s="110">
        <f t="shared" si="6"/>
        <v>41671</v>
      </c>
      <c r="AG7" s="169">
        <f t="shared" si="7"/>
        <v>12.405177493003388</v>
      </c>
      <c r="AH7" s="170">
        <f t="shared" si="7"/>
        <v>0</v>
      </c>
      <c r="AI7" s="170">
        <f t="shared" si="7"/>
        <v>0</v>
      </c>
      <c r="AJ7" s="170">
        <f t="shared" si="7"/>
        <v>31.837654048215249</v>
      </c>
      <c r="AK7" s="170">
        <f t="shared" si="7"/>
        <v>9.8811803407472869</v>
      </c>
      <c r="AL7" s="170">
        <f t="shared" si="7"/>
        <v>27.121078214759169</v>
      </c>
      <c r="AM7" s="170">
        <f t="shared" si="7"/>
        <v>20.725929199194777</v>
      </c>
      <c r="AN7" s="170">
        <f t="shared" si="7"/>
        <v>0</v>
      </c>
      <c r="AO7" s="170">
        <f t="shared" si="7"/>
        <v>24.368463691265283</v>
      </c>
      <c r="AP7" s="170">
        <f t="shared" si="7"/>
        <v>14.336917562724015</v>
      </c>
      <c r="AQ7" s="170">
        <f t="shared" si="7"/>
        <v>0</v>
      </c>
      <c r="AR7" s="170">
        <f t="shared" si="7"/>
        <v>19.56105464722345</v>
      </c>
      <c r="AS7" s="170">
        <f>+P7/325872</f>
        <v>0</v>
      </c>
      <c r="AT7" s="171">
        <f>+N7/325872</f>
        <v>0</v>
      </c>
      <c r="AU7" s="170">
        <f t="shared" si="10"/>
        <v>3.7438012471154316</v>
      </c>
      <c r="AV7" s="170">
        <f t="shared" si="10"/>
        <v>0.74237737516570923</v>
      </c>
      <c r="AW7" s="171">
        <f t="shared" si="11"/>
        <v>4.4861786222811411</v>
      </c>
      <c r="AX7" s="172">
        <f t="shared" si="12"/>
        <v>164.72363381941378</v>
      </c>
      <c r="AY7" s="170">
        <f t="shared" si="13"/>
        <v>0</v>
      </c>
      <c r="AZ7" s="170">
        <f t="shared" si="13"/>
        <v>56.184010899985267</v>
      </c>
      <c r="BA7" s="170">
        <f t="shared" si="13"/>
        <v>77.189031276083867</v>
      </c>
      <c r="BB7" s="170">
        <f t="shared" si="13"/>
        <v>0</v>
      </c>
      <c r="BC7" s="170">
        <f t="shared" si="13"/>
        <v>0</v>
      </c>
      <c r="BD7" s="172">
        <f t="shared" si="14"/>
        <v>133.37304217606913</v>
      </c>
      <c r="BE7" s="173">
        <f t="shared" si="15"/>
        <v>298.09667599548288</v>
      </c>
      <c r="BF7" s="136"/>
      <c r="BG7" s="136"/>
      <c r="BH7" s="182">
        <f t="shared" ref="BH7:BH17" si="24">31+BH6</f>
        <v>41671</v>
      </c>
      <c r="BI7" s="183">
        <f t="shared" ref="BI7:BU7" si="25">+B7/(28*1000000)</f>
        <v>0.144375</v>
      </c>
      <c r="BJ7" s="183">
        <f t="shared" si="25"/>
        <v>0</v>
      </c>
      <c r="BK7" s="183">
        <f t="shared" si="25"/>
        <v>0</v>
      </c>
      <c r="BL7" s="183">
        <f t="shared" si="25"/>
        <v>0.3705357142857143</v>
      </c>
      <c r="BM7" s="183">
        <f t="shared" si="25"/>
        <v>0.115</v>
      </c>
      <c r="BN7" s="183">
        <f t="shared" si="25"/>
        <v>0.31564285714285717</v>
      </c>
      <c r="BO7" s="183">
        <f t="shared" si="25"/>
        <v>0.24121428571428571</v>
      </c>
      <c r="BP7" s="183">
        <f t="shared" si="25"/>
        <v>0</v>
      </c>
      <c r="BQ7" s="183">
        <f t="shared" si="25"/>
        <v>0.28360714285714284</v>
      </c>
      <c r="BR7" s="183">
        <f t="shared" si="25"/>
        <v>0.16685714285714287</v>
      </c>
      <c r="BS7" s="183">
        <f t="shared" si="25"/>
        <v>0</v>
      </c>
      <c r="BT7" s="183">
        <f t="shared" si="25"/>
        <v>0.22765714285714286</v>
      </c>
      <c r="BU7" s="183">
        <f t="shared" si="25"/>
        <v>0</v>
      </c>
      <c r="BV7" s="184">
        <f>+P7/(28*1000000)</f>
        <v>0</v>
      </c>
      <c r="BW7" s="183">
        <f>+Q7/(28*1000000)</f>
        <v>4.3571428571428573E-2</v>
      </c>
      <c r="BX7" s="183">
        <f>+R7/(28*1000000)</f>
        <v>8.6400000000000001E-3</v>
      </c>
      <c r="BY7" s="185">
        <f>SUM(BV7:BX7)</f>
        <v>5.2211428571428575E-2</v>
      </c>
      <c r="BZ7" s="180">
        <f t="shared" ref="BZ7:BZ17" si="26">SUM(BI7:BT7)+BY7</f>
        <v>1.9171007142857144</v>
      </c>
      <c r="CA7" s="184">
        <f>+V7/(28*1000000)</f>
        <v>0</v>
      </c>
      <c r="CB7" s="183">
        <f>+W7/(28*1000000)</f>
        <v>0.6538855714285714</v>
      </c>
      <c r="CC7" s="183">
        <f>+X7/(28*1000000)</f>
        <v>0.89834800000000004</v>
      </c>
      <c r="CD7" s="183">
        <f>+Y7/(28*1000000)</f>
        <v>0</v>
      </c>
      <c r="CE7" s="183">
        <f>+Z7/(28*1000000)</f>
        <v>0</v>
      </c>
      <c r="CF7" s="183">
        <f t="shared" si="17"/>
        <v>1.5522335714285713</v>
      </c>
      <c r="CG7" s="183">
        <f t="shared" si="18"/>
        <v>3.4693342857142859</v>
      </c>
      <c r="CH7" s="185">
        <f t="shared" si="19"/>
        <v>10.646309856981533</v>
      </c>
      <c r="CI7" s="184">
        <f t="shared" si="20"/>
        <v>2.9663991543587134</v>
      </c>
      <c r="CJ7" s="183">
        <f t="shared" si="21"/>
        <v>2.4018270502645502</v>
      </c>
      <c r="CK7" s="185">
        <f t="shared" si="21"/>
        <v>5.3682262046232641</v>
      </c>
      <c r="CL7" s="181"/>
    </row>
    <row r="8" spans="1:90" x14ac:dyDescent="0.2">
      <c r="A8" s="160">
        <f t="shared" si="22"/>
        <v>41702</v>
      </c>
      <c r="B8" s="161">
        <v>5057300</v>
      </c>
      <c r="C8" s="161">
        <v>0</v>
      </c>
      <c r="D8" s="186">
        <v>0</v>
      </c>
      <c r="E8" s="304">
        <v>11216000</v>
      </c>
      <c r="F8" s="161">
        <v>3219300</v>
      </c>
      <c r="G8" s="161">
        <v>10046000</v>
      </c>
      <c r="H8" s="161">
        <v>7406000</v>
      </c>
      <c r="I8" s="161">
        <v>3831000</v>
      </c>
      <c r="J8" s="161">
        <v>8547000</v>
      </c>
      <c r="K8" s="161">
        <v>4845000</v>
      </c>
      <c r="L8" s="304">
        <v>0</v>
      </c>
      <c r="M8" s="161">
        <v>7174482</v>
      </c>
      <c r="N8" s="161">
        <v>0</v>
      </c>
      <c r="O8" s="187">
        <f t="shared" ref="O8:O17" si="27">SUM(B8:N8)</f>
        <v>61342082</v>
      </c>
      <c r="P8" s="188">
        <v>0</v>
      </c>
      <c r="Q8" s="161">
        <v>1360000</v>
      </c>
      <c r="R8" s="161">
        <v>241920</v>
      </c>
      <c r="S8" s="187">
        <f t="shared" si="0"/>
        <v>1601920</v>
      </c>
      <c r="T8" s="189">
        <f t="shared" si="23"/>
        <v>62944002</v>
      </c>
      <c r="U8" s="190">
        <f t="shared" si="1"/>
        <v>193.15560097216084</v>
      </c>
      <c r="V8" s="161">
        <v>0</v>
      </c>
      <c r="W8" s="161">
        <v>20417250</v>
      </c>
      <c r="X8" s="161">
        <v>22702500</v>
      </c>
      <c r="Y8" s="161">
        <v>0</v>
      </c>
      <c r="Z8" s="161">
        <v>0</v>
      </c>
      <c r="AA8" s="166">
        <f t="shared" si="2"/>
        <v>43119750</v>
      </c>
      <c r="AB8" s="165">
        <f t="shared" si="3"/>
        <v>132.3211260863161</v>
      </c>
      <c r="AC8" s="161">
        <f t="shared" si="4"/>
        <v>106063752</v>
      </c>
      <c r="AD8" s="167">
        <f t="shared" si="5"/>
        <v>325.47672705847697</v>
      </c>
      <c r="AE8" s="168"/>
      <c r="AF8" s="110">
        <f t="shared" si="6"/>
        <v>41702</v>
      </c>
      <c r="AG8" s="169">
        <f t="shared" si="7"/>
        <v>15.519283645112191</v>
      </c>
      <c r="AH8" s="170">
        <f t="shared" si="7"/>
        <v>0</v>
      </c>
      <c r="AI8" s="170">
        <f t="shared" si="7"/>
        <v>0</v>
      </c>
      <c r="AJ8" s="170">
        <f t="shared" si="7"/>
        <v>34.418421957087446</v>
      </c>
      <c r="AK8" s="170">
        <f t="shared" si="7"/>
        <v>9.879032258064516</v>
      </c>
      <c r="AL8" s="170">
        <f t="shared" si="7"/>
        <v>30.82805518731281</v>
      </c>
      <c r="AM8" s="170">
        <f t="shared" si="7"/>
        <v>22.726714783718762</v>
      </c>
      <c r="AN8" s="170">
        <f t="shared" si="7"/>
        <v>11.75614965385182</v>
      </c>
      <c r="AO8" s="170">
        <f t="shared" si="7"/>
        <v>26.228089556635734</v>
      </c>
      <c r="AP8" s="170">
        <f t="shared" si="7"/>
        <v>14.867800854323169</v>
      </c>
      <c r="AQ8" s="170">
        <f t="shared" si="7"/>
        <v>0</v>
      </c>
      <c r="AR8" s="170">
        <f t="shared" si="7"/>
        <v>22.016257917219029</v>
      </c>
      <c r="AS8" s="170">
        <f t="shared" si="8"/>
        <v>0</v>
      </c>
      <c r="AT8" s="171">
        <f t="shared" si="9"/>
        <v>0</v>
      </c>
      <c r="AU8" s="170">
        <f t="shared" si="10"/>
        <v>4.1734177836696613</v>
      </c>
      <c r="AV8" s="170">
        <f t="shared" si="10"/>
        <v>0.74237737516570923</v>
      </c>
      <c r="AW8" s="171">
        <f t="shared" si="11"/>
        <v>4.9157951588353708</v>
      </c>
      <c r="AX8" s="172">
        <f t="shared" si="12"/>
        <v>193.15560097216087</v>
      </c>
      <c r="AY8" s="170">
        <f t="shared" si="13"/>
        <v>0</v>
      </c>
      <c r="AZ8" s="170">
        <f t="shared" si="13"/>
        <v>62.654201649727497</v>
      </c>
      <c r="BA8" s="170">
        <f t="shared" si="13"/>
        <v>69.666924436588602</v>
      </c>
      <c r="BB8" s="170">
        <f t="shared" si="13"/>
        <v>0</v>
      </c>
      <c r="BC8" s="170">
        <f t="shared" si="13"/>
        <v>0</v>
      </c>
      <c r="BD8" s="172">
        <f t="shared" si="14"/>
        <v>132.3211260863161</v>
      </c>
      <c r="BE8" s="173">
        <f t="shared" si="15"/>
        <v>325.47672705847697</v>
      </c>
      <c r="BF8" s="136"/>
      <c r="BG8" s="136"/>
      <c r="BH8" s="182">
        <f t="shared" si="24"/>
        <v>41702</v>
      </c>
      <c r="BI8" s="183">
        <f t="shared" ref="BI8:BU8" si="28">+B8/(31*1000000)</f>
        <v>0.16313870967741936</v>
      </c>
      <c r="BJ8" s="183">
        <f t="shared" si="28"/>
        <v>0</v>
      </c>
      <c r="BK8" s="183">
        <f t="shared" si="28"/>
        <v>0</v>
      </c>
      <c r="BL8" s="183">
        <f t="shared" si="28"/>
        <v>0.3618064516129032</v>
      </c>
      <c r="BM8" s="183">
        <f t="shared" si="28"/>
        <v>0.1038483870967742</v>
      </c>
      <c r="BN8" s="183">
        <f t="shared" si="28"/>
        <v>0.32406451612903225</v>
      </c>
      <c r="BO8" s="183">
        <f t="shared" si="28"/>
        <v>0.23890322580645162</v>
      </c>
      <c r="BP8" s="183">
        <f t="shared" si="28"/>
        <v>0.12358064516129032</v>
      </c>
      <c r="BQ8" s="183">
        <f t="shared" si="28"/>
        <v>0.27570967741935481</v>
      </c>
      <c r="BR8" s="183">
        <f t="shared" si="28"/>
        <v>0.15629032258064515</v>
      </c>
      <c r="BS8" s="183">
        <f t="shared" si="28"/>
        <v>0</v>
      </c>
      <c r="BT8" s="183">
        <f t="shared" si="28"/>
        <v>0.23143490322580645</v>
      </c>
      <c r="BU8" s="185">
        <f t="shared" si="28"/>
        <v>0</v>
      </c>
      <c r="BV8" s="184">
        <f>+P8/(31*1000000)</f>
        <v>0</v>
      </c>
      <c r="BW8" s="183">
        <f>+Q8/(31*1000000)</f>
        <v>4.3870967741935482E-2</v>
      </c>
      <c r="BX8" s="183">
        <f>+R8/(31*1000000)</f>
        <v>7.8038709677419353E-3</v>
      </c>
      <c r="BY8" s="185">
        <f>SUM(BV8:BX8)</f>
        <v>5.1674838709677415E-2</v>
      </c>
      <c r="BZ8" s="180">
        <f t="shared" si="26"/>
        <v>2.0304516774193551</v>
      </c>
      <c r="CA8" s="184">
        <f>+V8/(31*1000000)</f>
        <v>0</v>
      </c>
      <c r="CB8" s="183">
        <f>+W8/(31*1000000)</f>
        <v>0.65862096774193546</v>
      </c>
      <c r="CC8" s="183">
        <f>+X8/(31*1000000)</f>
        <v>0.73233870967741932</v>
      </c>
      <c r="CD8" s="183">
        <f>+Y8/(31*1000000)</f>
        <v>0</v>
      </c>
      <c r="CE8" s="183">
        <f>+Z8/(31*1000000)</f>
        <v>0</v>
      </c>
      <c r="CF8" s="183">
        <f t="shared" si="17"/>
        <v>1.3909596774193549</v>
      </c>
      <c r="CG8" s="183">
        <f t="shared" si="18"/>
        <v>3.42141135483871</v>
      </c>
      <c r="CH8" s="185">
        <f t="shared" si="19"/>
        <v>10.49924925995087</v>
      </c>
      <c r="CI8" s="184">
        <f t="shared" si="20"/>
        <v>3.1417911922833652</v>
      </c>
      <c r="CJ8" s="183">
        <f t="shared" si="21"/>
        <v>2.1522821310831275</v>
      </c>
      <c r="CK8" s="185">
        <f t="shared" si="21"/>
        <v>5.2940733233664927</v>
      </c>
      <c r="CL8" s="181"/>
    </row>
    <row r="9" spans="1:90" x14ac:dyDescent="0.2">
      <c r="A9" s="160">
        <f t="shared" si="22"/>
        <v>41733</v>
      </c>
      <c r="B9" s="161">
        <v>5473500</v>
      </c>
      <c r="C9" s="161">
        <v>0</v>
      </c>
      <c r="D9" s="161">
        <v>0</v>
      </c>
      <c r="E9" s="304">
        <v>2859000</v>
      </c>
      <c r="F9" s="161">
        <v>3250500</v>
      </c>
      <c r="G9" s="161">
        <v>11133000</v>
      </c>
      <c r="H9" s="161">
        <v>6854000</v>
      </c>
      <c r="I9" s="161">
        <v>4923000</v>
      </c>
      <c r="J9" s="161">
        <v>5792000</v>
      </c>
      <c r="K9" s="161">
        <v>4674000</v>
      </c>
      <c r="L9" s="304">
        <v>288288</v>
      </c>
      <c r="M9" s="161">
        <v>6850000</v>
      </c>
      <c r="N9" s="161">
        <v>10440</v>
      </c>
      <c r="O9" s="162">
        <f t="shared" si="27"/>
        <v>52107728</v>
      </c>
      <c r="P9" s="163">
        <v>0</v>
      </c>
      <c r="Q9" s="161">
        <v>1360000</v>
      </c>
      <c r="R9" s="161">
        <v>241920</v>
      </c>
      <c r="S9" s="162">
        <f t="shared" si="0"/>
        <v>1601920</v>
      </c>
      <c r="T9" s="164">
        <f t="shared" si="23"/>
        <v>53709648</v>
      </c>
      <c r="U9" s="165">
        <f t="shared" si="1"/>
        <v>164.81823538076299</v>
      </c>
      <c r="V9" s="161">
        <v>9355500</v>
      </c>
      <c r="W9" s="161">
        <v>19075500</v>
      </c>
      <c r="X9" s="161">
        <v>34106250</v>
      </c>
      <c r="Y9" s="161">
        <v>0</v>
      </c>
      <c r="Z9" s="161">
        <v>0</v>
      </c>
      <c r="AA9" s="166">
        <f t="shared" si="2"/>
        <v>62537250</v>
      </c>
      <c r="AB9" s="165">
        <f t="shared" si="3"/>
        <v>191.90740536161437</v>
      </c>
      <c r="AC9" s="161">
        <f t="shared" si="4"/>
        <v>116246898</v>
      </c>
      <c r="AD9" s="167">
        <f t="shared" si="5"/>
        <v>356.72564074237738</v>
      </c>
      <c r="AE9" s="168"/>
      <c r="AF9" s="110">
        <f t="shared" si="6"/>
        <v>41733</v>
      </c>
      <c r="AG9" s="169">
        <f t="shared" si="7"/>
        <v>16.796472234496981</v>
      </c>
      <c r="AH9" s="170">
        <f t="shared" si="7"/>
        <v>0</v>
      </c>
      <c r="AI9" s="170">
        <f t="shared" si="7"/>
        <v>0</v>
      </c>
      <c r="AJ9" s="170">
        <f t="shared" si="7"/>
        <v>8.7733834143467373</v>
      </c>
      <c r="AK9" s="170">
        <f t="shared" si="7"/>
        <v>9.9747753719251726</v>
      </c>
      <c r="AL9" s="170">
        <f t="shared" si="7"/>
        <v>34.163720724701726</v>
      </c>
      <c r="AM9" s="170">
        <f t="shared" si="7"/>
        <v>21.032798153876367</v>
      </c>
      <c r="AN9" s="170">
        <f t="shared" si="7"/>
        <v>15.107158638974813</v>
      </c>
      <c r="AO9" s="170">
        <f t="shared" si="7"/>
        <v>17.773849855157852</v>
      </c>
      <c r="AP9" s="170">
        <f t="shared" si="7"/>
        <v>14.343054941817647</v>
      </c>
      <c r="AQ9" s="170">
        <f t="shared" si="7"/>
        <v>0.88466637207247012</v>
      </c>
      <c r="AR9" s="170">
        <f t="shared" si="7"/>
        <v>21.020523395689104</v>
      </c>
      <c r="AS9" s="170">
        <f t="shared" si="8"/>
        <v>0</v>
      </c>
      <c r="AT9" s="171">
        <f t="shared" si="9"/>
        <v>3.2037118868758284E-2</v>
      </c>
      <c r="AU9" s="170">
        <f t="shared" si="10"/>
        <v>4.1734177836696613</v>
      </c>
      <c r="AV9" s="170">
        <f t="shared" si="10"/>
        <v>0.74237737516570923</v>
      </c>
      <c r="AW9" s="171">
        <f t="shared" si="11"/>
        <v>4.9157951588353708</v>
      </c>
      <c r="AX9" s="172">
        <f t="shared" si="12"/>
        <v>164.81823538076304</v>
      </c>
      <c r="AY9" s="170">
        <f t="shared" si="13"/>
        <v>28.709125055236413</v>
      </c>
      <c r="AZ9" s="170">
        <f t="shared" si="13"/>
        <v>58.536787450287228</v>
      </c>
      <c r="BA9" s="170">
        <f t="shared" si="13"/>
        <v>104.66149285609073</v>
      </c>
      <c r="BB9" s="170">
        <f t="shared" si="13"/>
        <v>0</v>
      </c>
      <c r="BC9" s="170">
        <f t="shared" si="13"/>
        <v>0</v>
      </c>
      <c r="BD9" s="172">
        <f t="shared" si="14"/>
        <v>191.90740536161439</v>
      </c>
      <c r="BE9" s="173">
        <f t="shared" si="15"/>
        <v>356.72564074237744</v>
      </c>
      <c r="BF9" s="136"/>
      <c r="BG9" s="136"/>
      <c r="BH9" s="182">
        <f t="shared" si="24"/>
        <v>41733</v>
      </c>
      <c r="BI9" s="183">
        <f t="shared" ref="BI9:BU9" si="29">+B9/(30*1000000)</f>
        <v>0.18245</v>
      </c>
      <c r="BJ9" s="183">
        <f t="shared" si="29"/>
        <v>0</v>
      </c>
      <c r="BK9" s="183">
        <f t="shared" si="29"/>
        <v>0</v>
      </c>
      <c r="BL9" s="183">
        <f t="shared" si="29"/>
        <v>9.5299999999999996E-2</v>
      </c>
      <c r="BM9" s="183">
        <f t="shared" si="29"/>
        <v>0.10835</v>
      </c>
      <c r="BN9" s="183">
        <f t="shared" si="29"/>
        <v>0.37109999999999999</v>
      </c>
      <c r="BO9" s="183">
        <f t="shared" si="29"/>
        <v>0.22846666666666668</v>
      </c>
      <c r="BP9" s="183">
        <f t="shared" si="29"/>
        <v>0.1641</v>
      </c>
      <c r="BQ9" s="183">
        <f t="shared" si="29"/>
        <v>0.19306666666666666</v>
      </c>
      <c r="BR9" s="183">
        <f t="shared" si="29"/>
        <v>0.15579999999999999</v>
      </c>
      <c r="BS9" s="183">
        <f t="shared" si="29"/>
        <v>9.6095999999999994E-3</v>
      </c>
      <c r="BT9" s="183">
        <f t="shared" si="29"/>
        <v>0.22833333333333333</v>
      </c>
      <c r="BU9" s="185">
        <f t="shared" si="29"/>
        <v>3.48E-4</v>
      </c>
      <c r="BV9" s="184">
        <f>+P9/(30*1000000)</f>
        <v>0</v>
      </c>
      <c r="BW9" s="183">
        <f>+Q9/(30*1000000)</f>
        <v>4.5333333333333337E-2</v>
      </c>
      <c r="BX9" s="183">
        <f>+R9/(30*1000000)</f>
        <v>8.064E-3</v>
      </c>
      <c r="BY9" s="185">
        <f>SUM(BV9:BX9)</f>
        <v>5.3397333333333338E-2</v>
      </c>
      <c r="BZ9" s="180">
        <f t="shared" si="26"/>
        <v>1.7899735999999999</v>
      </c>
      <c r="CA9" s="184">
        <f>+V9/(30*1000000)</f>
        <v>0.31185000000000002</v>
      </c>
      <c r="CB9" s="183">
        <f>+W9/(30*1000000)</f>
        <v>0.63585000000000003</v>
      </c>
      <c r="CC9" s="183">
        <f>+X9/(30*1000000)</f>
        <v>1.1368750000000001</v>
      </c>
      <c r="CD9" s="183">
        <f>+Y9/(30*1000000)</f>
        <v>0</v>
      </c>
      <c r="CE9" s="183">
        <f>+Z9/(30*1000000)</f>
        <v>0</v>
      </c>
      <c r="CF9" s="183">
        <f t="shared" si="17"/>
        <v>2.0845750000000001</v>
      </c>
      <c r="CG9" s="183">
        <f t="shared" si="18"/>
        <v>3.8745485999999998</v>
      </c>
      <c r="CH9" s="185">
        <f t="shared" si="19"/>
        <v>11.889786787450287</v>
      </c>
      <c r="CI9" s="184">
        <f t="shared" si="20"/>
        <v>2.769690780352545</v>
      </c>
      <c r="CJ9" s="183">
        <f t="shared" si="21"/>
        <v>3.2255381634977223</v>
      </c>
      <c r="CK9" s="185">
        <f t="shared" si="21"/>
        <v>5.9952289438502664</v>
      </c>
      <c r="CL9" s="181"/>
    </row>
    <row r="10" spans="1:90" x14ac:dyDescent="0.2">
      <c r="A10" s="160">
        <f t="shared" si="22"/>
        <v>41764</v>
      </c>
      <c r="B10" s="161">
        <v>6278300</v>
      </c>
      <c r="C10" s="161">
        <v>0</v>
      </c>
      <c r="D10" s="161">
        <v>0</v>
      </c>
      <c r="E10" s="304">
        <v>0</v>
      </c>
      <c r="F10" s="161">
        <v>2301100</v>
      </c>
      <c r="G10" s="161">
        <v>10918000</v>
      </c>
      <c r="H10" s="161">
        <v>6269000</v>
      </c>
      <c r="I10" s="161">
        <v>4858000</v>
      </c>
      <c r="J10" s="161">
        <v>7993080</v>
      </c>
      <c r="K10" s="161">
        <v>5345000</v>
      </c>
      <c r="L10" s="161">
        <v>3126240</v>
      </c>
      <c r="M10" s="161">
        <v>7230000</v>
      </c>
      <c r="N10" s="161">
        <v>0</v>
      </c>
      <c r="O10" s="162">
        <f t="shared" si="27"/>
        <v>54318720</v>
      </c>
      <c r="P10" s="163">
        <v>0</v>
      </c>
      <c r="Q10" s="161">
        <v>1358000</v>
      </c>
      <c r="R10" s="161">
        <v>241920</v>
      </c>
      <c r="S10" s="162">
        <f t="shared" si="0"/>
        <v>1599920</v>
      </c>
      <c r="T10" s="164">
        <f t="shared" si="23"/>
        <v>55918640</v>
      </c>
      <c r="U10" s="165">
        <f>+T10/325872</f>
        <v>171.596946040163</v>
      </c>
      <c r="V10" s="161">
        <v>17307972</v>
      </c>
      <c r="W10" s="161">
        <v>15630956</v>
      </c>
      <c r="X10" s="161">
        <v>50560312</v>
      </c>
      <c r="Y10" s="161">
        <v>0</v>
      </c>
      <c r="Z10" s="161">
        <v>0</v>
      </c>
      <c r="AA10" s="166">
        <f t="shared" si="2"/>
        <v>83499240</v>
      </c>
      <c r="AB10" s="165">
        <f t="shared" si="3"/>
        <v>256.23324495507438</v>
      </c>
      <c r="AC10" s="161">
        <f t="shared" si="4"/>
        <v>139417880</v>
      </c>
      <c r="AD10" s="167">
        <f t="shared" si="5"/>
        <v>427.83019099523739</v>
      </c>
      <c r="AE10" s="168"/>
      <c r="AF10" s="110">
        <f t="shared" si="6"/>
        <v>41764</v>
      </c>
      <c r="AG10" s="169">
        <f t="shared" si="7"/>
        <v>19.266153581774439</v>
      </c>
      <c r="AH10" s="170">
        <f t="shared" si="7"/>
        <v>0</v>
      </c>
      <c r="AI10" s="170">
        <f t="shared" si="7"/>
        <v>0</v>
      </c>
      <c r="AJ10" s="170">
        <f t="shared" si="7"/>
        <v>0</v>
      </c>
      <c r="AK10" s="170">
        <f t="shared" si="7"/>
        <v>7.0613615161781311</v>
      </c>
      <c r="AL10" s="170">
        <f t="shared" si="7"/>
        <v>33.503952472136298</v>
      </c>
      <c r="AM10" s="170">
        <f t="shared" si="7"/>
        <v>19.237614768989051</v>
      </c>
      <c r="AN10" s="170">
        <f t="shared" si="7"/>
        <v>14.907693818431778</v>
      </c>
      <c r="AO10" s="170">
        <f t="shared" si="7"/>
        <v>24.528281042863455</v>
      </c>
      <c r="AP10" s="170">
        <f t="shared" si="7"/>
        <v>16.402145627731134</v>
      </c>
      <c r="AQ10" s="170">
        <f t="shared" si="7"/>
        <v>9.593460008837825</v>
      </c>
      <c r="AR10" s="170">
        <f t="shared" si="7"/>
        <v>22.186625423479157</v>
      </c>
      <c r="AS10" s="170">
        <f t="shared" si="8"/>
        <v>0</v>
      </c>
      <c r="AT10" s="171">
        <f t="shared" si="9"/>
        <v>0</v>
      </c>
      <c r="AU10" s="170">
        <f t="shared" si="10"/>
        <v>4.1672804045760294</v>
      </c>
      <c r="AV10" s="170">
        <f t="shared" si="10"/>
        <v>0.74237737516570923</v>
      </c>
      <c r="AW10" s="171">
        <f t="shared" si="11"/>
        <v>4.9096577797417389</v>
      </c>
      <c r="AX10" s="172">
        <f t="shared" si="12"/>
        <v>171.596946040163</v>
      </c>
      <c r="AY10" s="170">
        <f t="shared" si="13"/>
        <v>53.112792752982763</v>
      </c>
      <c r="AZ10" s="170">
        <f t="shared" si="13"/>
        <v>47.966551283939708</v>
      </c>
      <c r="BA10" s="170">
        <f t="shared" si="13"/>
        <v>155.15390091815192</v>
      </c>
      <c r="BB10" s="170">
        <f t="shared" si="13"/>
        <v>0</v>
      </c>
      <c r="BC10" s="170">
        <f t="shared" si="13"/>
        <v>0</v>
      </c>
      <c r="BD10" s="172">
        <f t="shared" si="14"/>
        <v>256.23324495507438</v>
      </c>
      <c r="BE10" s="173">
        <f t="shared" si="15"/>
        <v>427.83019099523739</v>
      </c>
      <c r="BF10" s="136"/>
      <c r="BG10" s="136"/>
      <c r="BH10" s="182">
        <f t="shared" si="24"/>
        <v>41764</v>
      </c>
      <c r="BI10" s="183">
        <f t="shared" ref="BI10:BU10" si="30">+B10/(31*1000000)</f>
        <v>0.20252580645161292</v>
      </c>
      <c r="BJ10" s="183">
        <f t="shared" si="30"/>
        <v>0</v>
      </c>
      <c r="BK10" s="183">
        <f t="shared" si="30"/>
        <v>0</v>
      </c>
      <c r="BL10" s="183">
        <f t="shared" si="30"/>
        <v>0</v>
      </c>
      <c r="BM10" s="183">
        <f t="shared" si="30"/>
        <v>7.4229032258064515E-2</v>
      </c>
      <c r="BN10" s="183">
        <f t="shared" si="30"/>
        <v>0.35219354838709677</v>
      </c>
      <c r="BO10" s="183">
        <f t="shared" si="30"/>
        <v>0.20222580645161289</v>
      </c>
      <c r="BP10" s="183">
        <f t="shared" si="30"/>
        <v>0.15670967741935485</v>
      </c>
      <c r="BQ10" s="183">
        <f t="shared" si="30"/>
        <v>0.25784129032258063</v>
      </c>
      <c r="BR10" s="183">
        <f t="shared" si="30"/>
        <v>0.17241935483870968</v>
      </c>
      <c r="BS10" s="183">
        <f t="shared" si="30"/>
        <v>0.10084645161290323</v>
      </c>
      <c r="BT10" s="183">
        <f t="shared" si="30"/>
        <v>0.23322580645161289</v>
      </c>
      <c r="BU10" s="185">
        <f t="shared" si="30"/>
        <v>0</v>
      </c>
      <c r="BV10" s="184">
        <f>+P10/(31*1000000)</f>
        <v>0</v>
      </c>
      <c r="BW10" s="183">
        <f>+Q10/(31*1000000)</f>
        <v>4.3806451612903224E-2</v>
      </c>
      <c r="BX10" s="183">
        <f>+R10/(31*1000000)</f>
        <v>7.8038709677419353E-3</v>
      </c>
      <c r="BY10" s="185">
        <f>SUM(BV10:BX10)</f>
        <v>5.1610322580645157E-2</v>
      </c>
      <c r="BZ10" s="180">
        <f t="shared" si="26"/>
        <v>1.8038270967741936</v>
      </c>
      <c r="CA10" s="184">
        <f>+V10/(31*1000000)</f>
        <v>0.55832167741935479</v>
      </c>
      <c r="CB10" s="183">
        <f>+W10/(31*1000000)</f>
        <v>0.5042243870967742</v>
      </c>
      <c r="CC10" s="183">
        <f>+X10/(31*1000000)</f>
        <v>1.6309778064516129</v>
      </c>
      <c r="CD10" s="183">
        <f>+Y10/(31*1000000)</f>
        <v>0</v>
      </c>
      <c r="CE10" s="183">
        <f>+Z10/(31*1000000)</f>
        <v>0</v>
      </c>
      <c r="CF10" s="183">
        <f t="shared" si="17"/>
        <v>2.6935238709677423</v>
      </c>
      <c r="CG10" s="183">
        <f t="shared" si="18"/>
        <v>4.4973509677419354</v>
      </c>
      <c r="CH10" s="185">
        <f t="shared" si="19"/>
        <v>13.800973903072174</v>
      </c>
      <c r="CI10" s="184">
        <f t="shared" si="20"/>
        <v>2.7911267961078212</v>
      </c>
      <c r="CJ10" s="183">
        <f t="shared" si="21"/>
        <v>4.1677867383512543</v>
      </c>
      <c r="CK10" s="185">
        <f t="shared" si="21"/>
        <v>6.9589135344590751</v>
      </c>
      <c r="CL10" s="181"/>
    </row>
    <row r="11" spans="1:90" x14ac:dyDescent="0.2">
      <c r="A11" s="160">
        <f t="shared" si="22"/>
        <v>41795</v>
      </c>
      <c r="B11" s="161">
        <v>6968800</v>
      </c>
      <c r="C11" s="161">
        <v>0</v>
      </c>
      <c r="D11" s="161">
        <v>0</v>
      </c>
      <c r="E11" s="304">
        <v>8518000</v>
      </c>
      <c r="F11" s="161">
        <v>1754200</v>
      </c>
      <c r="G11" s="161">
        <v>11572000</v>
      </c>
      <c r="H11" s="304">
        <v>2189000</v>
      </c>
      <c r="I11" s="161">
        <v>4918000</v>
      </c>
      <c r="J11" s="161">
        <v>5576000</v>
      </c>
      <c r="K11" s="161">
        <v>5678000</v>
      </c>
      <c r="L11" s="161">
        <v>4573000</v>
      </c>
      <c r="M11" s="161">
        <v>7569000</v>
      </c>
      <c r="N11" s="161">
        <v>0</v>
      </c>
      <c r="O11" s="162">
        <f t="shared" si="27"/>
        <v>59316000</v>
      </c>
      <c r="P11" s="163">
        <v>0</v>
      </c>
      <c r="Q11" s="161">
        <v>1332000</v>
      </c>
      <c r="R11" s="161">
        <v>259200</v>
      </c>
      <c r="S11" s="162">
        <f t="shared" si="0"/>
        <v>1591200</v>
      </c>
      <c r="T11" s="164">
        <f t="shared" si="23"/>
        <v>60907200</v>
      </c>
      <c r="U11" s="165">
        <f t="shared" si="1"/>
        <v>186.90528796582709</v>
      </c>
      <c r="V11" s="161">
        <v>5846250</v>
      </c>
      <c r="W11" s="161">
        <v>21791250</v>
      </c>
      <c r="X11" s="161">
        <v>50364750</v>
      </c>
      <c r="Y11" s="161">
        <v>0</v>
      </c>
      <c r="Z11" s="161">
        <v>0</v>
      </c>
      <c r="AA11" s="166">
        <f t="shared" si="2"/>
        <v>78002250</v>
      </c>
      <c r="AB11" s="165">
        <f t="shared" si="3"/>
        <v>239.36468920312271</v>
      </c>
      <c r="AC11" s="161">
        <f t="shared" si="4"/>
        <v>138909450</v>
      </c>
      <c r="AD11" s="167">
        <f t="shared" si="5"/>
        <v>426.26997716894977</v>
      </c>
      <c r="AE11" s="168"/>
      <c r="AF11" s="110">
        <f t="shared" si="6"/>
        <v>41795</v>
      </c>
      <c r="AG11" s="169">
        <f t="shared" si="7"/>
        <v>21.385083713850836</v>
      </c>
      <c r="AH11" s="170">
        <f t="shared" si="7"/>
        <v>0</v>
      </c>
      <c r="AI11" s="170">
        <f t="shared" si="7"/>
        <v>0</v>
      </c>
      <c r="AJ11" s="170">
        <f t="shared" si="7"/>
        <v>26.139097559778072</v>
      </c>
      <c r="AK11" s="170">
        <f t="shared" si="7"/>
        <v>5.3830952030245003</v>
      </c>
      <c r="AL11" s="170">
        <f t="shared" si="7"/>
        <v>35.510875435753917</v>
      </c>
      <c r="AM11" s="170">
        <f t="shared" si="7"/>
        <v>6.717361417980066</v>
      </c>
      <c r="AN11" s="170">
        <f t="shared" si="7"/>
        <v>15.091815191240732</v>
      </c>
      <c r="AO11" s="170">
        <f t="shared" si="7"/>
        <v>17.111012913045613</v>
      </c>
      <c r="AP11" s="170">
        <f t="shared" si="7"/>
        <v>17.424019246820837</v>
      </c>
      <c r="AQ11" s="170">
        <f t="shared" si="7"/>
        <v>14.033117297589238</v>
      </c>
      <c r="AR11" s="170">
        <f t="shared" si="7"/>
        <v>23.226911179849758</v>
      </c>
      <c r="AS11" s="170">
        <f t="shared" si="8"/>
        <v>0</v>
      </c>
      <c r="AT11" s="171">
        <f t="shared" si="9"/>
        <v>0</v>
      </c>
      <c r="AU11" s="170">
        <f t="shared" si="10"/>
        <v>4.0874944763588159</v>
      </c>
      <c r="AV11" s="170">
        <f t="shared" si="10"/>
        <v>0.79540433053468851</v>
      </c>
      <c r="AW11" s="171">
        <f t="shared" si="11"/>
        <v>4.882898806893504</v>
      </c>
      <c r="AX11" s="172">
        <f t="shared" si="12"/>
        <v>186.90528796582709</v>
      </c>
      <c r="AY11" s="170">
        <f t="shared" si="13"/>
        <v>17.940326263072617</v>
      </c>
      <c r="AZ11" s="170">
        <f t="shared" si="13"/>
        <v>66.870581087052585</v>
      </c>
      <c r="BA11" s="170">
        <f t="shared" si="13"/>
        <v>154.5537818529975</v>
      </c>
      <c r="BB11" s="170">
        <f t="shared" si="13"/>
        <v>0</v>
      </c>
      <c r="BC11" s="170">
        <f t="shared" si="13"/>
        <v>0</v>
      </c>
      <c r="BD11" s="172">
        <f t="shared" si="14"/>
        <v>239.36468920312271</v>
      </c>
      <c r="BE11" s="173">
        <f t="shared" si="15"/>
        <v>426.26997716894982</v>
      </c>
      <c r="BF11" s="136"/>
      <c r="BG11" s="136"/>
      <c r="BH11" s="182">
        <f t="shared" si="24"/>
        <v>41795</v>
      </c>
      <c r="BI11" s="183">
        <f t="shared" ref="BI11:BU11" si="31">+B11/(30*1000000)</f>
        <v>0.23229333333333332</v>
      </c>
      <c r="BJ11" s="183">
        <f t="shared" si="31"/>
        <v>0</v>
      </c>
      <c r="BK11" s="183">
        <f t="shared" si="31"/>
        <v>0</v>
      </c>
      <c r="BL11" s="183">
        <f t="shared" si="31"/>
        <v>0.28393333333333332</v>
      </c>
      <c r="BM11" s="183">
        <f t="shared" si="31"/>
        <v>5.8473333333333335E-2</v>
      </c>
      <c r="BN11" s="183">
        <f t="shared" si="31"/>
        <v>0.38573333333333332</v>
      </c>
      <c r="BO11" s="183">
        <f t="shared" si="31"/>
        <v>7.2966666666666666E-2</v>
      </c>
      <c r="BP11" s="183">
        <f t="shared" si="31"/>
        <v>0.16393333333333332</v>
      </c>
      <c r="BQ11" s="183">
        <f t="shared" si="31"/>
        <v>0.18586666666666668</v>
      </c>
      <c r="BR11" s="183">
        <f t="shared" si="31"/>
        <v>0.18926666666666667</v>
      </c>
      <c r="BS11" s="183">
        <f t="shared" si="31"/>
        <v>0.15243333333333334</v>
      </c>
      <c r="BT11" s="183">
        <f t="shared" si="31"/>
        <v>0.25230000000000002</v>
      </c>
      <c r="BU11" s="185">
        <f t="shared" si="31"/>
        <v>0</v>
      </c>
      <c r="BV11" s="184">
        <f>+P11/(30*1000000)</f>
        <v>0</v>
      </c>
      <c r="BW11" s="183">
        <f>+Q11/(30*1000000)</f>
        <v>4.4400000000000002E-2</v>
      </c>
      <c r="BX11" s="183">
        <f>+R11/(30*1000000)</f>
        <v>8.6400000000000001E-3</v>
      </c>
      <c r="BY11" s="185">
        <f>+S11/(30*1000000)</f>
        <v>5.3039999999999997E-2</v>
      </c>
      <c r="BZ11" s="180">
        <f t="shared" si="26"/>
        <v>2.03024</v>
      </c>
      <c r="CA11" s="184">
        <f>+V11/(30*1000000)</f>
        <v>0.19487499999999999</v>
      </c>
      <c r="CB11" s="183">
        <f>+W11/(30*1000000)</f>
        <v>0.72637499999999999</v>
      </c>
      <c r="CC11" s="183">
        <f>+X11/(30*1000000)</f>
        <v>1.678825</v>
      </c>
      <c r="CD11" s="183">
        <f>+Y11/(30*1000000)</f>
        <v>0</v>
      </c>
      <c r="CE11" s="183">
        <f>+Z11/(30*1000000)</f>
        <v>0</v>
      </c>
      <c r="CF11" s="183">
        <f t="shared" si="17"/>
        <v>2.6000749999999999</v>
      </c>
      <c r="CG11" s="183">
        <f t="shared" si="18"/>
        <v>4.6303149999999995</v>
      </c>
      <c r="CH11" s="185">
        <f t="shared" si="19"/>
        <v>14.20899923896499</v>
      </c>
      <c r="CI11" s="184">
        <f t="shared" si="20"/>
        <v>3.1414636561695386</v>
      </c>
      <c r="CJ11" s="183">
        <f t="shared" si="21"/>
        <v>4.0231899262230142</v>
      </c>
      <c r="CK11" s="185">
        <f t="shared" si="21"/>
        <v>7.1646535823925515</v>
      </c>
      <c r="CL11" s="181"/>
    </row>
    <row r="12" spans="1:90" x14ac:dyDescent="0.2">
      <c r="A12" s="160">
        <f t="shared" si="22"/>
        <v>41826</v>
      </c>
      <c r="B12" s="161">
        <v>3861300</v>
      </c>
      <c r="C12" s="161">
        <v>0</v>
      </c>
      <c r="D12" s="161">
        <v>0</v>
      </c>
      <c r="E12" s="161">
        <v>20447000</v>
      </c>
      <c r="F12" s="161">
        <v>1421000</v>
      </c>
      <c r="G12" s="161">
        <v>11036000</v>
      </c>
      <c r="H12" s="304">
        <v>0</v>
      </c>
      <c r="I12" s="161">
        <v>4571000</v>
      </c>
      <c r="J12" s="161">
        <v>4782000</v>
      </c>
      <c r="K12" s="161">
        <v>6313625</v>
      </c>
      <c r="L12" s="161">
        <v>4097000</v>
      </c>
      <c r="M12" s="161">
        <v>7001000</v>
      </c>
      <c r="N12" s="161">
        <v>0</v>
      </c>
      <c r="O12" s="162">
        <f t="shared" si="27"/>
        <v>63529925</v>
      </c>
      <c r="P12" s="163">
        <v>0</v>
      </c>
      <c r="Q12" s="161">
        <v>1410000</v>
      </c>
      <c r="R12" s="161">
        <v>267840</v>
      </c>
      <c r="S12" s="162">
        <f t="shared" si="0"/>
        <v>1677840</v>
      </c>
      <c r="T12" s="164">
        <f t="shared" si="23"/>
        <v>65207765</v>
      </c>
      <c r="U12" s="165">
        <f t="shared" si="1"/>
        <v>200.10238682672951</v>
      </c>
      <c r="V12" s="161">
        <v>1203000</v>
      </c>
      <c r="W12" s="161">
        <v>25648500</v>
      </c>
      <c r="X12" s="161">
        <v>46806750</v>
      </c>
      <c r="Y12" s="161">
        <v>0</v>
      </c>
      <c r="Z12" s="161">
        <v>0</v>
      </c>
      <c r="AA12" s="166">
        <f t="shared" si="2"/>
        <v>73658250</v>
      </c>
      <c r="AB12" s="165">
        <f t="shared" si="3"/>
        <v>226.03430181175432</v>
      </c>
      <c r="AC12" s="161">
        <f t="shared" si="4"/>
        <v>138866015</v>
      </c>
      <c r="AD12" s="167">
        <f t="shared" si="5"/>
        <v>426.1366886384838</v>
      </c>
      <c r="AE12" s="168"/>
      <c r="AF12" s="110">
        <f t="shared" si="6"/>
        <v>41826</v>
      </c>
      <c r="AG12" s="169">
        <f t="shared" si="7"/>
        <v>11.849130947120342</v>
      </c>
      <c r="AH12" s="170">
        <f t="shared" si="7"/>
        <v>0</v>
      </c>
      <c r="AI12" s="170">
        <f t="shared" si="7"/>
        <v>0</v>
      </c>
      <c r="AJ12" s="170">
        <f t="shared" si="7"/>
        <v>62.745495163745275</v>
      </c>
      <c r="AK12" s="170">
        <f t="shared" si="7"/>
        <v>4.3606078460254336</v>
      </c>
      <c r="AL12" s="170">
        <f t="shared" si="7"/>
        <v>33.866057838660581</v>
      </c>
      <c r="AM12" s="170">
        <f t="shared" si="7"/>
        <v>0</v>
      </c>
      <c r="AN12" s="170">
        <f t="shared" si="7"/>
        <v>14.026979918495606</v>
      </c>
      <c r="AO12" s="170">
        <f t="shared" si="7"/>
        <v>14.674473412873766</v>
      </c>
      <c r="AP12" s="170">
        <f t="shared" si="7"/>
        <v>19.374555040015711</v>
      </c>
      <c r="AQ12" s="170">
        <f t="shared" si="7"/>
        <v>12.572421073304856</v>
      </c>
      <c r="AR12" s="170">
        <f t="shared" si="7"/>
        <v>21.483895517258311</v>
      </c>
      <c r="AS12" s="170">
        <f t="shared" si="8"/>
        <v>0</v>
      </c>
      <c r="AT12" s="171">
        <f t="shared" si="9"/>
        <v>0</v>
      </c>
      <c r="AU12" s="170">
        <f t="shared" si="10"/>
        <v>4.3268522610104583</v>
      </c>
      <c r="AV12" s="170">
        <f t="shared" si="10"/>
        <v>0.82191780821917804</v>
      </c>
      <c r="AW12" s="171">
        <f t="shared" si="11"/>
        <v>5.1487700692296361</v>
      </c>
      <c r="AX12" s="172">
        <f t="shared" si="12"/>
        <v>200.10238682672951</v>
      </c>
      <c r="AY12" s="170">
        <f t="shared" si="13"/>
        <v>3.6916335248195611</v>
      </c>
      <c r="AZ12" s="170">
        <f t="shared" si="13"/>
        <v>78.707283841508328</v>
      </c>
      <c r="BA12" s="170">
        <f t="shared" si="13"/>
        <v>143.63538444542644</v>
      </c>
      <c r="BB12" s="170">
        <f t="shared" si="13"/>
        <v>0</v>
      </c>
      <c r="BC12" s="170">
        <f t="shared" si="13"/>
        <v>0</v>
      </c>
      <c r="BD12" s="172">
        <f t="shared" si="14"/>
        <v>226.03430181175435</v>
      </c>
      <c r="BE12" s="173">
        <f t="shared" si="15"/>
        <v>426.13668863848386</v>
      </c>
      <c r="BF12" s="136"/>
      <c r="BG12" s="136"/>
      <c r="BH12" s="182">
        <f t="shared" si="24"/>
        <v>41826</v>
      </c>
      <c r="BI12" s="183">
        <f t="shared" ref="BI12:BU13" si="32">+B12/(31*1000000)</f>
        <v>0.12455806451612904</v>
      </c>
      <c r="BJ12" s="183">
        <f t="shared" si="32"/>
        <v>0</v>
      </c>
      <c r="BK12" s="183">
        <f t="shared" si="32"/>
        <v>0</v>
      </c>
      <c r="BL12" s="183">
        <f t="shared" si="32"/>
        <v>0.65958064516129034</v>
      </c>
      <c r="BM12" s="183">
        <f t="shared" si="32"/>
        <v>4.5838709677419355E-2</v>
      </c>
      <c r="BN12" s="183">
        <f t="shared" si="32"/>
        <v>0.35599999999999998</v>
      </c>
      <c r="BO12" s="183">
        <f t="shared" si="32"/>
        <v>0</v>
      </c>
      <c r="BP12" s="183">
        <f t="shared" si="32"/>
        <v>0.14745161290322581</v>
      </c>
      <c r="BQ12" s="183">
        <f t="shared" si="32"/>
        <v>0.15425806451612903</v>
      </c>
      <c r="BR12" s="183">
        <f t="shared" si="32"/>
        <v>0.20366532258064515</v>
      </c>
      <c r="BS12" s="183">
        <f t="shared" si="32"/>
        <v>0.13216129032258064</v>
      </c>
      <c r="BT12" s="183">
        <f t="shared" si="32"/>
        <v>0.22583870967741934</v>
      </c>
      <c r="BU12" s="185">
        <f t="shared" si="32"/>
        <v>0</v>
      </c>
      <c r="BV12" s="184">
        <f t="shared" ref="BV12:BX13" si="33">+P12/(31*1000000)</f>
        <v>0</v>
      </c>
      <c r="BW12" s="183">
        <f t="shared" si="33"/>
        <v>4.5483870967741938E-2</v>
      </c>
      <c r="BX12" s="183">
        <f t="shared" si="33"/>
        <v>8.6400000000000001E-3</v>
      </c>
      <c r="BY12" s="185">
        <f t="shared" ref="BY12:BY17" si="34">SUM(BV12:BX12)</f>
        <v>5.412387096774194E-2</v>
      </c>
      <c r="BZ12" s="180">
        <f t="shared" si="26"/>
        <v>2.1034762903225808</v>
      </c>
      <c r="CA12" s="184">
        <f t="shared" ref="CA12:CE13" si="35">+V12/(31*1000000)</f>
        <v>3.8806451612903227E-2</v>
      </c>
      <c r="CB12" s="183">
        <f t="shared" si="35"/>
        <v>0.82737096774193553</v>
      </c>
      <c r="CC12" s="183">
        <f t="shared" si="35"/>
        <v>1.5098951612903226</v>
      </c>
      <c r="CD12" s="183">
        <f t="shared" si="35"/>
        <v>0</v>
      </c>
      <c r="CE12" s="183">
        <f t="shared" si="35"/>
        <v>0</v>
      </c>
      <c r="CF12" s="183">
        <f t="shared" si="17"/>
        <v>2.3760725806451615</v>
      </c>
      <c r="CG12" s="183">
        <f t="shared" si="18"/>
        <v>4.4795488709677418</v>
      </c>
      <c r="CH12" s="185">
        <f t="shared" si="19"/>
        <v>13.746344794789801</v>
      </c>
      <c r="CI12" s="184">
        <f t="shared" si="20"/>
        <v>3.2547848124668572</v>
      </c>
      <c r="CJ12" s="183">
        <f t="shared" si="21"/>
        <v>3.6765828948881611</v>
      </c>
      <c r="CK12" s="185">
        <f t="shared" si="21"/>
        <v>6.9313677073550179</v>
      </c>
      <c r="CL12" s="181"/>
    </row>
    <row r="13" spans="1:90" x14ac:dyDescent="0.2">
      <c r="A13" s="160">
        <f t="shared" si="22"/>
        <v>41857</v>
      </c>
      <c r="B13" s="161">
        <v>3281500</v>
      </c>
      <c r="C13" s="161">
        <v>0</v>
      </c>
      <c r="D13" s="161">
        <v>0</v>
      </c>
      <c r="E13" s="161">
        <v>20353000</v>
      </c>
      <c r="F13" s="161">
        <v>1397000</v>
      </c>
      <c r="G13" s="161">
        <v>10244000</v>
      </c>
      <c r="H13" s="304">
        <v>35000</v>
      </c>
      <c r="I13" s="161">
        <v>4483000</v>
      </c>
      <c r="J13" s="161">
        <v>3610000</v>
      </c>
      <c r="K13" s="161">
        <v>4551000</v>
      </c>
      <c r="L13" s="161">
        <v>3629000</v>
      </c>
      <c r="M13" s="161">
        <v>6932000</v>
      </c>
      <c r="N13" s="161">
        <v>0</v>
      </c>
      <c r="O13" s="162">
        <f t="shared" si="27"/>
        <v>58515500</v>
      </c>
      <c r="P13" s="163">
        <v>0</v>
      </c>
      <c r="Q13" s="161">
        <v>1420000</v>
      </c>
      <c r="R13" s="161">
        <v>267840</v>
      </c>
      <c r="S13" s="162">
        <f t="shared" si="0"/>
        <v>1687840</v>
      </c>
      <c r="T13" s="164">
        <f t="shared" si="23"/>
        <v>60203340</v>
      </c>
      <c r="U13" s="165">
        <f t="shared" si="1"/>
        <v>184.7453601414052</v>
      </c>
      <c r="V13" s="161">
        <v>0</v>
      </c>
      <c r="W13" s="161">
        <v>26052000</v>
      </c>
      <c r="X13" s="161">
        <v>46013250</v>
      </c>
      <c r="Y13" s="161">
        <v>0</v>
      </c>
      <c r="Z13" s="161">
        <v>0</v>
      </c>
      <c r="AA13" s="166">
        <f t="shared" si="2"/>
        <v>72065250</v>
      </c>
      <c r="AB13" s="165">
        <f t="shared" si="3"/>
        <v>221.14587936367653</v>
      </c>
      <c r="AC13" s="161">
        <f t="shared" si="4"/>
        <v>132268590</v>
      </c>
      <c r="AD13" s="167">
        <f t="shared" si="5"/>
        <v>405.89123950508173</v>
      </c>
      <c r="AE13" s="168"/>
      <c r="AF13" s="110">
        <f t="shared" si="6"/>
        <v>41857</v>
      </c>
      <c r="AG13" s="169">
        <f t="shared" si="7"/>
        <v>10.069904747876468</v>
      </c>
      <c r="AH13" s="170">
        <f t="shared" si="7"/>
        <v>0</v>
      </c>
      <c r="AI13" s="170">
        <f t="shared" si="7"/>
        <v>0</v>
      </c>
      <c r="AJ13" s="170">
        <f t="shared" si="7"/>
        <v>62.457038346344575</v>
      </c>
      <c r="AK13" s="170">
        <f t="shared" si="7"/>
        <v>4.2869592969018511</v>
      </c>
      <c r="AL13" s="170">
        <f t="shared" si="7"/>
        <v>31.435655717582364</v>
      </c>
      <c r="AM13" s="170">
        <f t="shared" si="7"/>
        <v>0.10740413413855747</v>
      </c>
      <c r="AN13" s="170">
        <f t="shared" si="7"/>
        <v>13.756935238375805</v>
      </c>
      <c r="AO13" s="170">
        <f t="shared" si="7"/>
        <v>11.0779692640055</v>
      </c>
      <c r="AP13" s="170">
        <f t="shared" si="7"/>
        <v>13.965606127559287</v>
      </c>
      <c r="AQ13" s="170">
        <f t="shared" si="7"/>
        <v>11.136274365395002</v>
      </c>
      <c r="AR13" s="170">
        <f t="shared" si="7"/>
        <v>21.272155938528012</v>
      </c>
      <c r="AS13" s="170">
        <f t="shared" si="8"/>
        <v>0</v>
      </c>
      <c r="AT13" s="171">
        <f t="shared" si="9"/>
        <v>0</v>
      </c>
      <c r="AU13" s="170">
        <f t="shared" si="10"/>
        <v>4.3575391564786177</v>
      </c>
      <c r="AV13" s="170">
        <f t="shared" si="10"/>
        <v>0.82191780821917804</v>
      </c>
      <c r="AW13" s="171">
        <f t="shared" si="11"/>
        <v>5.1794569646977955</v>
      </c>
      <c r="AX13" s="172">
        <f t="shared" si="12"/>
        <v>184.74536014140523</v>
      </c>
      <c r="AY13" s="170">
        <f t="shared" si="13"/>
        <v>0</v>
      </c>
      <c r="AZ13" s="170">
        <f t="shared" si="13"/>
        <v>79.945500073648546</v>
      </c>
      <c r="BA13" s="170">
        <f t="shared" si="13"/>
        <v>141.200379290028</v>
      </c>
      <c r="BB13" s="170">
        <f t="shared" si="13"/>
        <v>0</v>
      </c>
      <c r="BC13" s="170">
        <f t="shared" si="13"/>
        <v>0</v>
      </c>
      <c r="BD13" s="172">
        <f t="shared" si="14"/>
        <v>221.14587936367656</v>
      </c>
      <c r="BE13" s="173">
        <f t="shared" si="15"/>
        <v>405.89123950508178</v>
      </c>
      <c r="BF13" s="136"/>
      <c r="BG13" s="136"/>
      <c r="BH13" s="182">
        <f t="shared" si="24"/>
        <v>41857</v>
      </c>
      <c r="BI13" s="183">
        <f t="shared" si="32"/>
        <v>0.10585483870967742</v>
      </c>
      <c r="BJ13" s="183">
        <f t="shared" si="32"/>
        <v>0</v>
      </c>
      <c r="BK13" s="183">
        <f t="shared" si="32"/>
        <v>0</v>
      </c>
      <c r="BL13" s="183">
        <f t="shared" si="32"/>
        <v>0.65654838709677421</v>
      </c>
      <c r="BM13" s="183">
        <f t="shared" si="32"/>
        <v>4.5064516129032256E-2</v>
      </c>
      <c r="BN13" s="183">
        <f t="shared" si="32"/>
        <v>0.33045161290322583</v>
      </c>
      <c r="BO13" s="183">
        <f t="shared" si="32"/>
        <v>1.1290322580645162E-3</v>
      </c>
      <c r="BP13" s="183">
        <f t="shared" si="32"/>
        <v>0.14461290322580644</v>
      </c>
      <c r="BQ13" s="183">
        <f t="shared" si="32"/>
        <v>0.11645161290322581</v>
      </c>
      <c r="BR13" s="183">
        <f t="shared" si="32"/>
        <v>0.14680645161290323</v>
      </c>
      <c r="BS13" s="183">
        <f t="shared" si="32"/>
        <v>0.11706451612903226</v>
      </c>
      <c r="BT13" s="183">
        <f t="shared" si="32"/>
        <v>0.22361290322580646</v>
      </c>
      <c r="BU13" s="185">
        <f t="shared" si="32"/>
        <v>0</v>
      </c>
      <c r="BV13" s="184">
        <f t="shared" si="33"/>
        <v>0</v>
      </c>
      <c r="BW13" s="183">
        <f t="shared" si="33"/>
        <v>4.5806451612903226E-2</v>
      </c>
      <c r="BX13" s="183">
        <f t="shared" si="33"/>
        <v>8.6400000000000001E-3</v>
      </c>
      <c r="BY13" s="185">
        <f t="shared" si="34"/>
        <v>5.4446451612903228E-2</v>
      </c>
      <c r="BZ13" s="180">
        <f t="shared" si="26"/>
        <v>1.9420432258064517</v>
      </c>
      <c r="CA13" s="184">
        <f t="shared" si="35"/>
        <v>0</v>
      </c>
      <c r="CB13" s="183">
        <f t="shared" si="35"/>
        <v>0.84038709677419354</v>
      </c>
      <c r="CC13" s="183">
        <f t="shared" si="35"/>
        <v>1.4842983870967741</v>
      </c>
      <c r="CD13" s="183">
        <f t="shared" si="35"/>
        <v>0</v>
      </c>
      <c r="CE13" s="183">
        <f t="shared" si="35"/>
        <v>0</v>
      </c>
      <c r="CF13" s="183">
        <f t="shared" si="17"/>
        <v>2.3246854838709679</v>
      </c>
      <c r="CG13" s="183">
        <f t="shared" si="18"/>
        <v>4.2667287096774196</v>
      </c>
      <c r="CH13" s="185">
        <f t="shared" si="19"/>
        <v>13.093265790486509</v>
      </c>
      <c r="CI13" s="184">
        <f t="shared" si="20"/>
        <v>3.0049936030130526</v>
      </c>
      <c r="CJ13" s="183">
        <f t="shared" si="21"/>
        <v>3.5970697846587316</v>
      </c>
      <c r="CK13" s="185">
        <f t="shared" si="21"/>
        <v>6.6020633876717847</v>
      </c>
      <c r="CL13" s="181"/>
    </row>
    <row r="14" spans="1:90" x14ac:dyDescent="0.2">
      <c r="A14" s="160">
        <f t="shared" si="22"/>
        <v>41888</v>
      </c>
      <c r="B14" s="161">
        <v>2532900</v>
      </c>
      <c r="C14" s="161">
        <v>0</v>
      </c>
      <c r="D14" s="161">
        <v>0</v>
      </c>
      <c r="E14" s="161">
        <v>18121000</v>
      </c>
      <c r="F14" s="161">
        <v>1045000</v>
      </c>
      <c r="G14" s="161">
        <v>9328000</v>
      </c>
      <c r="H14" s="161">
        <v>10565000</v>
      </c>
      <c r="I14" s="161">
        <v>4020000</v>
      </c>
      <c r="J14" s="161">
        <v>3298000</v>
      </c>
      <c r="K14" s="161">
        <v>3747612</v>
      </c>
      <c r="L14" s="161">
        <v>3849000</v>
      </c>
      <c r="M14" s="161">
        <v>6748000</v>
      </c>
      <c r="N14" s="161">
        <v>0</v>
      </c>
      <c r="O14" s="162">
        <f t="shared" si="27"/>
        <v>63254512</v>
      </c>
      <c r="P14" s="163">
        <v>0</v>
      </c>
      <c r="Q14" s="161">
        <v>1364000</v>
      </c>
      <c r="R14" s="161">
        <v>267840</v>
      </c>
      <c r="S14" s="162">
        <f t="shared" si="0"/>
        <v>1631840</v>
      </c>
      <c r="T14" s="164">
        <f t="shared" si="23"/>
        <v>64886352</v>
      </c>
      <c r="U14" s="165">
        <f t="shared" si="1"/>
        <v>199.11607011341877</v>
      </c>
      <c r="V14" s="161">
        <v>597750</v>
      </c>
      <c r="W14" s="161">
        <v>24460500</v>
      </c>
      <c r="X14" s="161">
        <v>40794000</v>
      </c>
      <c r="Y14" s="161">
        <v>0</v>
      </c>
      <c r="Z14" s="161">
        <v>0</v>
      </c>
      <c r="AA14" s="166">
        <f t="shared" si="2"/>
        <v>65852250</v>
      </c>
      <c r="AB14" s="165">
        <f t="shared" si="3"/>
        <v>202.08011120930917</v>
      </c>
      <c r="AC14" s="161">
        <f t="shared" si="4"/>
        <v>130738602</v>
      </c>
      <c r="AD14" s="167">
        <f t="shared" si="5"/>
        <v>401.19618132272797</v>
      </c>
      <c r="AE14" s="168"/>
      <c r="AF14" s="110">
        <f t="shared" si="6"/>
        <v>41888</v>
      </c>
      <c r="AG14" s="169">
        <f t="shared" si="7"/>
        <v>7.772683753130063</v>
      </c>
      <c r="AH14" s="170">
        <f t="shared" si="7"/>
        <v>0</v>
      </c>
      <c r="AI14" s="170">
        <f t="shared" si="7"/>
        <v>0</v>
      </c>
      <c r="AJ14" s="170">
        <f t="shared" si="7"/>
        <v>55.607723277851427</v>
      </c>
      <c r="AK14" s="170">
        <f t="shared" si="7"/>
        <v>3.2067805764226445</v>
      </c>
      <c r="AL14" s="170">
        <f t="shared" si="7"/>
        <v>28.624736092698974</v>
      </c>
      <c r="AM14" s="170">
        <f t="shared" si="7"/>
        <v>32.420705062110279</v>
      </c>
      <c r="AN14" s="170">
        <f t="shared" si="7"/>
        <v>12.336131978200029</v>
      </c>
      <c r="AO14" s="170">
        <f t="shared" si="7"/>
        <v>10.12053812539893</v>
      </c>
      <c r="AP14" s="170">
        <f t="shared" si="7"/>
        <v>11.500257769921932</v>
      </c>
      <c r="AQ14" s="170">
        <f t="shared" si="7"/>
        <v>11.811386065694506</v>
      </c>
      <c r="AR14" s="170">
        <f t="shared" si="7"/>
        <v>20.70751706191388</v>
      </c>
      <c r="AS14" s="170">
        <f t="shared" si="8"/>
        <v>0</v>
      </c>
      <c r="AT14" s="171">
        <f t="shared" si="9"/>
        <v>0</v>
      </c>
      <c r="AU14" s="170">
        <f t="shared" si="10"/>
        <v>4.1856925418569251</v>
      </c>
      <c r="AV14" s="170">
        <f t="shared" si="10"/>
        <v>0.82191780821917804</v>
      </c>
      <c r="AW14" s="171">
        <f t="shared" si="11"/>
        <v>5.0076103500761029</v>
      </c>
      <c r="AX14" s="172">
        <f t="shared" si="12"/>
        <v>199.11607011341877</v>
      </c>
      <c r="AY14" s="170">
        <f t="shared" si="13"/>
        <v>1.8343091766092208</v>
      </c>
      <c r="AZ14" s="170">
        <f t="shared" si="13"/>
        <v>75.061680659890996</v>
      </c>
      <c r="BA14" s="170">
        <f t="shared" si="13"/>
        <v>125.18412137280896</v>
      </c>
      <c r="BB14" s="170">
        <f t="shared" si="13"/>
        <v>0</v>
      </c>
      <c r="BC14" s="170">
        <f t="shared" si="13"/>
        <v>0</v>
      </c>
      <c r="BD14" s="172">
        <f t="shared" si="14"/>
        <v>202.08011120930917</v>
      </c>
      <c r="BE14" s="173">
        <f t="shared" si="15"/>
        <v>401.19618132272797</v>
      </c>
      <c r="BF14" s="136"/>
      <c r="BG14" s="136"/>
      <c r="BH14" s="182">
        <f t="shared" si="24"/>
        <v>41888</v>
      </c>
      <c r="BI14" s="183">
        <f t="shared" ref="BI14:BU14" si="36">+B14/(30*1000000)</f>
        <v>8.4430000000000005E-2</v>
      </c>
      <c r="BJ14" s="183">
        <f t="shared" si="36"/>
        <v>0</v>
      </c>
      <c r="BK14" s="183">
        <f t="shared" si="36"/>
        <v>0</v>
      </c>
      <c r="BL14" s="183">
        <f t="shared" si="36"/>
        <v>0.60403333333333331</v>
      </c>
      <c r="BM14" s="183">
        <f t="shared" si="36"/>
        <v>3.4833333333333334E-2</v>
      </c>
      <c r="BN14" s="183">
        <f t="shared" si="36"/>
        <v>0.31093333333333334</v>
      </c>
      <c r="BO14" s="183">
        <f t="shared" si="36"/>
        <v>0.35216666666666668</v>
      </c>
      <c r="BP14" s="183">
        <f t="shared" si="36"/>
        <v>0.13400000000000001</v>
      </c>
      <c r="BQ14" s="183">
        <f t="shared" si="36"/>
        <v>0.10993333333333333</v>
      </c>
      <c r="BR14" s="183">
        <f t="shared" si="36"/>
        <v>0.1249204</v>
      </c>
      <c r="BS14" s="183">
        <f t="shared" si="36"/>
        <v>0.1283</v>
      </c>
      <c r="BT14" s="183">
        <f t="shared" si="36"/>
        <v>0.22493333333333335</v>
      </c>
      <c r="BU14" s="185">
        <f t="shared" si="36"/>
        <v>0</v>
      </c>
      <c r="BV14" s="184">
        <f>+P14/(30*1000000)</f>
        <v>0</v>
      </c>
      <c r="BW14" s="183">
        <f>+Q14/(30*1000000)</f>
        <v>4.5466666666666669E-2</v>
      </c>
      <c r="BX14" s="183">
        <f>+R14/(30*1000000)</f>
        <v>8.9280000000000002E-3</v>
      </c>
      <c r="BY14" s="185">
        <f t="shared" si="34"/>
        <v>5.4394666666666668E-2</v>
      </c>
      <c r="BZ14" s="180">
        <f t="shared" si="26"/>
        <v>2.1628783999999999</v>
      </c>
      <c r="CA14" s="184">
        <f>+V14/(30*1000000)</f>
        <v>1.9924999999999998E-2</v>
      </c>
      <c r="CB14" s="183">
        <f>+W14/(30*1000000)</f>
        <v>0.81535000000000002</v>
      </c>
      <c r="CC14" s="183">
        <f>+X14/(30*1000000)</f>
        <v>1.3597999999999999</v>
      </c>
      <c r="CD14" s="183">
        <f>+Y14/(30*1000000)</f>
        <v>0</v>
      </c>
      <c r="CE14" s="183">
        <f>+Z14/(30*1000000)</f>
        <v>0</v>
      </c>
      <c r="CF14" s="183">
        <f t="shared" si="17"/>
        <v>2.1950750000000001</v>
      </c>
      <c r="CG14" s="183">
        <f t="shared" si="18"/>
        <v>4.3579533999999995</v>
      </c>
      <c r="CH14" s="185">
        <f t="shared" si="19"/>
        <v>13.37320604409093</v>
      </c>
      <c r="CI14" s="184">
        <f t="shared" si="20"/>
        <v>3.3466998415527827</v>
      </c>
      <c r="CJ14" s="183">
        <f t="shared" si="21"/>
        <v>3.396518803228362</v>
      </c>
      <c r="CK14" s="185">
        <f t="shared" si="21"/>
        <v>6.7432186447811437</v>
      </c>
      <c r="CL14" s="181"/>
    </row>
    <row r="15" spans="1:90" s="85" customFormat="1" x14ac:dyDescent="0.2">
      <c r="A15" s="191">
        <f t="shared" si="22"/>
        <v>41919</v>
      </c>
      <c r="B15" s="186">
        <v>2774200</v>
      </c>
      <c r="C15" s="186">
        <v>0</v>
      </c>
      <c r="D15" s="186">
        <v>0</v>
      </c>
      <c r="E15" s="186">
        <v>18145000</v>
      </c>
      <c r="F15" s="186">
        <v>423300</v>
      </c>
      <c r="G15" s="186">
        <v>9497000</v>
      </c>
      <c r="H15" s="186">
        <v>13382000</v>
      </c>
      <c r="I15" s="186">
        <v>4206000</v>
      </c>
      <c r="J15" s="186">
        <v>4316000</v>
      </c>
      <c r="K15" s="186">
        <v>3739000</v>
      </c>
      <c r="L15" s="186">
        <v>3914000</v>
      </c>
      <c r="M15" s="186">
        <v>7095000</v>
      </c>
      <c r="N15" s="186">
        <v>0</v>
      </c>
      <c r="O15" s="187">
        <f t="shared" si="27"/>
        <v>67491500</v>
      </c>
      <c r="P15" s="188">
        <v>0</v>
      </c>
      <c r="Q15" s="186">
        <v>1363000</v>
      </c>
      <c r="R15" s="186">
        <v>251620</v>
      </c>
      <c r="S15" s="187">
        <f t="shared" si="0"/>
        <v>1614620</v>
      </c>
      <c r="T15" s="189">
        <f t="shared" si="23"/>
        <v>69106120</v>
      </c>
      <c r="U15" s="190">
        <f t="shared" si="1"/>
        <v>212.06522806500712</v>
      </c>
      <c r="V15" s="186">
        <v>30750</v>
      </c>
      <c r="W15" s="186">
        <v>26138250</v>
      </c>
      <c r="X15" s="186">
        <v>30597000</v>
      </c>
      <c r="Y15" s="186">
        <v>0</v>
      </c>
      <c r="Z15" s="186">
        <v>0</v>
      </c>
      <c r="AA15" s="192">
        <f t="shared" si="2"/>
        <v>56766000</v>
      </c>
      <c r="AB15" s="190">
        <f t="shared" si="3"/>
        <v>174.19723081455297</v>
      </c>
      <c r="AC15" s="186">
        <f t="shared" si="4"/>
        <v>125872120</v>
      </c>
      <c r="AD15" s="193">
        <f t="shared" si="5"/>
        <v>386.26245887956009</v>
      </c>
      <c r="AE15" s="194"/>
      <c r="AF15" s="110">
        <f t="shared" si="6"/>
        <v>41919</v>
      </c>
      <c r="AG15" s="169">
        <f t="shared" si="7"/>
        <v>8.5131585407767467</v>
      </c>
      <c r="AH15" s="170">
        <f t="shared" si="7"/>
        <v>0</v>
      </c>
      <c r="AI15" s="170">
        <f t="shared" si="7"/>
        <v>0</v>
      </c>
      <c r="AJ15" s="170">
        <f t="shared" si="7"/>
        <v>55.68137182697501</v>
      </c>
      <c r="AK15" s="170">
        <f t="shared" si="7"/>
        <v>1.2989762851671822</v>
      </c>
      <c r="AL15" s="170">
        <f t="shared" si="7"/>
        <v>29.143344626110867</v>
      </c>
      <c r="AM15" s="170">
        <f t="shared" si="7"/>
        <v>41.065203515490744</v>
      </c>
      <c r="AN15" s="170">
        <f t="shared" si="7"/>
        <v>12.906908233907792</v>
      </c>
      <c r="AO15" s="170">
        <f t="shared" si="7"/>
        <v>13.244464084057544</v>
      </c>
      <c r="AP15" s="170">
        <f t="shared" si="7"/>
        <v>11.473830215544753</v>
      </c>
      <c r="AQ15" s="170">
        <f t="shared" si="7"/>
        <v>12.010850886237542</v>
      </c>
      <c r="AR15" s="170">
        <f t="shared" si="7"/>
        <v>21.772352334659008</v>
      </c>
      <c r="AS15" s="170">
        <f t="shared" si="8"/>
        <v>0</v>
      </c>
      <c r="AT15" s="171">
        <f t="shared" si="9"/>
        <v>0</v>
      </c>
      <c r="AU15" s="170">
        <f t="shared" si="10"/>
        <v>4.1826238523101091</v>
      </c>
      <c r="AV15" s="170">
        <f t="shared" si="10"/>
        <v>0.77214366376982368</v>
      </c>
      <c r="AW15" s="171">
        <f t="shared" si="11"/>
        <v>4.9547675160799329</v>
      </c>
      <c r="AX15" s="172">
        <f t="shared" si="12"/>
        <v>212.06522806500709</v>
      </c>
      <c r="AY15" s="170">
        <f t="shared" si="13"/>
        <v>9.4362203564589783E-2</v>
      </c>
      <c r="AZ15" s="170">
        <f t="shared" si="13"/>
        <v>80.210174547061428</v>
      </c>
      <c r="BA15" s="170">
        <f t="shared" si="13"/>
        <v>93.892694063926939</v>
      </c>
      <c r="BB15" s="170">
        <f t="shared" si="13"/>
        <v>0</v>
      </c>
      <c r="BC15" s="170">
        <f t="shared" si="13"/>
        <v>0</v>
      </c>
      <c r="BD15" s="172">
        <f t="shared" si="14"/>
        <v>174.19723081455294</v>
      </c>
      <c r="BE15" s="173">
        <f t="shared" si="15"/>
        <v>386.26245887956003</v>
      </c>
      <c r="BF15" s="170"/>
      <c r="BG15" s="170"/>
      <c r="BH15" s="195">
        <f t="shared" si="24"/>
        <v>41919</v>
      </c>
      <c r="BI15" s="196">
        <f t="shared" ref="BI15:BU15" si="37">+B15/(31*1000000)</f>
        <v>8.9490322580645168E-2</v>
      </c>
      <c r="BJ15" s="196">
        <f t="shared" si="37"/>
        <v>0</v>
      </c>
      <c r="BK15" s="196">
        <f t="shared" si="37"/>
        <v>0</v>
      </c>
      <c r="BL15" s="196">
        <f t="shared" si="37"/>
        <v>0.58532258064516129</v>
      </c>
      <c r="BM15" s="196">
        <f t="shared" si="37"/>
        <v>1.365483870967742E-2</v>
      </c>
      <c r="BN15" s="196">
        <f t="shared" si="37"/>
        <v>0.30635483870967745</v>
      </c>
      <c r="BO15" s="196">
        <f t="shared" si="37"/>
        <v>0.43167741935483872</v>
      </c>
      <c r="BP15" s="196">
        <f t="shared" si="37"/>
        <v>0.13567741935483871</v>
      </c>
      <c r="BQ15" s="196">
        <f t="shared" si="37"/>
        <v>0.13922580645161289</v>
      </c>
      <c r="BR15" s="196">
        <f t="shared" si="37"/>
        <v>0.12061290322580645</v>
      </c>
      <c r="BS15" s="196">
        <f t="shared" si="37"/>
        <v>0.12625806451612903</v>
      </c>
      <c r="BT15" s="196">
        <f t="shared" si="37"/>
        <v>0.22887096774193549</v>
      </c>
      <c r="BU15" s="197">
        <f t="shared" si="37"/>
        <v>0</v>
      </c>
      <c r="BV15" s="198">
        <f>+P15/(31*1000000)</f>
        <v>0</v>
      </c>
      <c r="BW15" s="196">
        <f>+Q15/(31*1000000)</f>
        <v>4.3967741935483869E-2</v>
      </c>
      <c r="BX15" s="196">
        <f>+R15/(31*1000000)</f>
        <v>8.1167741935483876E-3</v>
      </c>
      <c r="BY15" s="197">
        <f t="shared" si="34"/>
        <v>5.2084516129032254E-2</v>
      </c>
      <c r="BZ15" s="180">
        <f t="shared" si="26"/>
        <v>2.229229677419355</v>
      </c>
      <c r="CA15" s="198">
        <f>+V15/(31*1000000)</f>
        <v>9.9193548387096781E-4</v>
      </c>
      <c r="CB15" s="196">
        <f>+W15/(31*1000000)</f>
        <v>0.84316935483870969</v>
      </c>
      <c r="CC15" s="196">
        <f>+X15/(31*1000000)</f>
        <v>0.98699999999999999</v>
      </c>
      <c r="CD15" s="196">
        <f>+Y15/(31*1000000)</f>
        <v>0</v>
      </c>
      <c r="CE15" s="196">
        <f>+Z15/(31*1000000)</f>
        <v>0</v>
      </c>
      <c r="CF15" s="196">
        <f t="shared" si="17"/>
        <v>1.8311612903225807</v>
      </c>
      <c r="CG15" s="196">
        <f t="shared" si="18"/>
        <v>4.0603909677419354</v>
      </c>
      <c r="CH15" s="197">
        <f t="shared" si="19"/>
        <v>12.460079318695486</v>
      </c>
      <c r="CI15" s="198">
        <f t="shared" si="20"/>
        <v>3.4493675687935657</v>
      </c>
      <c r="CJ15" s="196">
        <f t="shared" si="21"/>
        <v>2.8334219807179957</v>
      </c>
      <c r="CK15" s="197">
        <f t="shared" si="21"/>
        <v>6.2827895495115609</v>
      </c>
      <c r="CL15" s="199"/>
    </row>
    <row r="16" spans="1:90" x14ac:dyDescent="0.2">
      <c r="A16" s="160">
        <f t="shared" si="22"/>
        <v>41950</v>
      </c>
      <c r="B16" s="161">
        <v>2735700</v>
      </c>
      <c r="C16" s="161">
        <v>0</v>
      </c>
      <c r="D16" s="161">
        <v>0</v>
      </c>
      <c r="E16" s="161">
        <v>16974000</v>
      </c>
      <c r="F16" s="161">
        <v>121300</v>
      </c>
      <c r="G16" s="161">
        <v>8628000</v>
      </c>
      <c r="H16" s="161">
        <v>12194000</v>
      </c>
      <c r="I16" s="161">
        <v>3856000</v>
      </c>
      <c r="J16" s="161">
        <v>3256000</v>
      </c>
      <c r="K16" s="161">
        <v>1387000</v>
      </c>
      <c r="L16" s="161">
        <v>4541000</v>
      </c>
      <c r="M16" s="161">
        <v>6876000</v>
      </c>
      <c r="N16" s="161">
        <v>0</v>
      </c>
      <c r="O16" s="162">
        <f t="shared" si="27"/>
        <v>60569000</v>
      </c>
      <c r="P16" s="163">
        <v>0</v>
      </c>
      <c r="Q16" s="161">
        <v>1351000</v>
      </c>
      <c r="R16" s="161">
        <v>251620</v>
      </c>
      <c r="S16" s="162">
        <f t="shared" si="0"/>
        <v>1602620</v>
      </c>
      <c r="T16" s="164">
        <f t="shared" si="23"/>
        <v>62171620</v>
      </c>
      <c r="U16" s="165">
        <f t="shared" si="1"/>
        <v>190.78540040261205</v>
      </c>
      <c r="V16" s="161">
        <v>0</v>
      </c>
      <c r="W16" s="161">
        <v>23959500</v>
      </c>
      <c r="X16" s="161">
        <v>17818500</v>
      </c>
      <c r="Y16" s="161">
        <v>0</v>
      </c>
      <c r="Z16" s="161">
        <v>0</v>
      </c>
      <c r="AA16" s="166">
        <f t="shared" si="2"/>
        <v>41778000</v>
      </c>
      <c r="AB16" s="165">
        <f t="shared" si="3"/>
        <v>128.20371188687582</v>
      </c>
      <c r="AC16" s="161">
        <f t="shared" si="4"/>
        <v>103949620</v>
      </c>
      <c r="AD16" s="167">
        <f t="shared" si="5"/>
        <v>318.98911228948788</v>
      </c>
      <c r="AE16" s="168"/>
      <c r="AF16" s="110">
        <f t="shared" si="6"/>
        <v>41950</v>
      </c>
      <c r="AG16" s="169">
        <f t="shared" si="7"/>
        <v>8.3950139932243335</v>
      </c>
      <c r="AH16" s="170">
        <f t="shared" si="7"/>
        <v>0</v>
      </c>
      <c r="AI16" s="170">
        <f t="shared" si="7"/>
        <v>0</v>
      </c>
      <c r="AJ16" s="170">
        <f t="shared" si="7"/>
        <v>52.087936367653555</v>
      </c>
      <c r="AK16" s="170">
        <f t="shared" si="7"/>
        <v>0.37223204202877203</v>
      </c>
      <c r="AL16" s="170">
        <f t="shared" si="7"/>
        <v>26.476653409927824</v>
      </c>
      <c r="AM16" s="170">
        <f t="shared" si="7"/>
        <v>37.419600333873426</v>
      </c>
      <c r="AN16" s="170">
        <f t="shared" si="7"/>
        <v>11.832866892522217</v>
      </c>
      <c r="AO16" s="170">
        <f t="shared" si="7"/>
        <v>9.9916531644326607</v>
      </c>
      <c r="AP16" s="170">
        <f t="shared" si="7"/>
        <v>4.2562724014336917</v>
      </c>
      <c r="AQ16" s="170">
        <f t="shared" si="7"/>
        <v>13.934919232091127</v>
      </c>
      <c r="AR16" s="170">
        <f t="shared" si="7"/>
        <v>21.10030932390632</v>
      </c>
      <c r="AS16" s="170">
        <f t="shared" si="8"/>
        <v>0</v>
      </c>
      <c r="AT16" s="171">
        <f t="shared" si="9"/>
        <v>0</v>
      </c>
      <c r="AU16" s="170">
        <f t="shared" si="10"/>
        <v>4.1457995777483188</v>
      </c>
      <c r="AV16" s="170">
        <f t="shared" si="10"/>
        <v>0.77214366376982368</v>
      </c>
      <c r="AW16" s="171">
        <f t="shared" si="11"/>
        <v>4.9179432415181425</v>
      </c>
      <c r="AX16" s="172">
        <f t="shared" si="12"/>
        <v>190.78540040261203</v>
      </c>
      <c r="AY16" s="170">
        <f t="shared" si="13"/>
        <v>0</v>
      </c>
      <c r="AZ16" s="170">
        <f t="shared" si="13"/>
        <v>73.524267196936222</v>
      </c>
      <c r="BA16" s="170">
        <f t="shared" si="13"/>
        <v>54.679444689939608</v>
      </c>
      <c r="BB16" s="170">
        <f t="shared" si="13"/>
        <v>0</v>
      </c>
      <c r="BC16" s="170">
        <f t="shared" si="13"/>
        <v>0</v>
      </c>
      <c r="BD16" s="172">
        <f t="shared" si="14"/>
        <v>128.20371188687582</v>
      </c>
      <c r="BE16" s="173">
        <f t="shared" si="15"/>
        <v>318.98911228948782</v>
      </c>
      <c r="BF16" s="136"/>
      <c r="BG16" s="136"/>
      <c r="BH16" s="182">
        <f t="shared" si="24"/>
        <v>41950</v>
      </c>
      <c r="BI16" s="183">
        <f t="shared" ref="BI16:BU16" si="38">+B16/(30*1000000)</f>
        <v>9.1189999999999993E-2</v>
      </c>
      <c r="BJ16" s="183">
        <f t="shared" si="38"/>
        <v>0</v>
      </c>
      <c r="BK16" s="183">
        <f t="shared" si="38"/>
        <v>0</v>
      </c>
      <c r="BL16" s="183">
        <f t="shared" si="38"/>
        <v>0.56579999999999997</v>
      </c>
      <c r="BM16" s="183">
        <f t="shared" si="38"/>
        <v>4.0433333333333337E-3</v>
      </c>
      <c r="BN16" s="183">
        <f t="shared" si="38"/>
        <v>0.28760000000000002</v>
      </c>
      <c r="BO16" s="183">
        <f t="shared" si="38"/>
        <v>0.40646666666666664</v>
      </c>
      <c r="BP16" s="183">
        <f t="shared" si="38"/>
        <v>0.12853333333333333</v>
      </c>
      <c r="BQ16" s="183">
        <f t="shared" si="38"/>
        <v>0.10853333333333333</v>
      </c>
      <c r="BR16" s="183">
        <f t="shared" si="38"/>
        <v>4.6233333333333335E-2</v>
      </c>
      <c r="BS16" s="183">
        <f t="shared" si="38"/>
        <v>0.15136666666666668</v>
      </c>
      <c r="BT16" s="183">
        <f t="shared" si="38"/>
        <v>0.22919999999999999</v>
      </c>
      <c r="BU16" s="185">
        <f t="shared" si="38"/>
        <v>0</v>
      </c>
      <c r="BV16" s="184">
        <f>+P16/(30*1000000)</f>
        <v>0</v>
      </c>
      <c r="BW16" s="183">
        <f>+Q16/(30*1000000)</f>
        <v>4.5033333333333335E-2</v>
      </c>
      <c r="BX16" s="183">
        <f>+R16/(30*1000000)</f>
        <v>8.3873333333333334E-3</v>
      </c>
      <c r="BY16" s="185">
        <f t="shared" si="34"/>
        <v>5.3420666666666672E-2</v>
      </c>
      <c r="BZ16" s="180">
        <f t="shared" si="26"/>
        <v>2.0723873333333334</v>
      </c>
      <c r="CA16" s="184">
        <f>+V16/(30*1000000)</f>
        <v>0</v>
      </c>
      <c r="CB16" s="183">
        <f>+W16/(30*1000000)</f>
        <v>0.79864999999999997</v>
      </c>
      <c r="CC16" s="183">
        <f>+X16/(30*1000000)</f>
        <v>0.59394999999999998</v>
      </c>
      <c r="CD16" s="183">
        <f>+Y16/(30*1000000)</f>
        <v>0</v>
      </c>
      <c r="CE16" s="183">
        <f>+Z16/(30*1000000)</f>
        <v>0</v>
      </c>
      <c r="CF16" s="183">
        <f t="shared" si="17"/>
        <v>1.3925999999999998</v>
      </c>
      <c r="CG16" s="183">
        <f t="shared" si="18"/>
        <v>3.4649873333333332</v>
      </c>
      <c r="CH16" s="185">
        <f t="shared" si="19"/>
        <v>10.632970409649596</v>
      </c>
      <c r="CI16" s="184">
        <f t="shared" si="20"/>
        <v>3.2066797468145505</v>
      </c>
      <c r="CJ16" s="183">
        <f t="shared" si="21"/>
        <v>2.1548202614379082</v>
      </c>
      <c r="CK16" s="185">
        <f t="shared" si="21"/>
        <v>5.3615000082524586</v>
      </c>
      <c r="CL16" s="181"/>
    </row>
    <row r="17" spans="1:120" s="204" customFormat="1" ht="13.5" thickBot="1" x14ac:dyDescent="0.25">
      <c r="A17" s="160">
        <f t="shared" si="22"/>
        <v>41981</v>
      </c>
      <c r="B17" s="161">
        <v>531100</v>
      </c>
      <c r="C17" s="161">
        <v>0</v>
      </c>
      <c r="D17" s="161">
        <v>0</v>
      </c>
      <c r="E17" s="161">
        <v>16579000</v>
      </c>
      <c r="F17" s="161">
        <v>823400</v>
      </c>
      <c r="G17" s="161">
        <v>3831000</v>
      </c>
      <c r="H17" s="161">
        <v>10775000</v>
      </c>
      <c r="I17" s="161">
        <v>1675000</v>
      </c>
      <c r="J17" s="161">
        <v>6460000</v>
      </c>
      <c r="K17" s="304">
        <v>0</v>
      </c>
      <c r="L17" s="161">
        <v>2710000</v>
      </c>
      <c r="M17" s="161">
        <v>6879000</v>
      </c>
      <c r="N17" s="161">
        <v>0</v>
      </c>
      <c r="O17" s="162">
        <f t="shared" si="27"/>
        <v>50263500</v>
      </c>
      <c r="P17" s="163">
        <v>0</v>
      </c>
      <c r="Q17" s="161">
        <v>1372000</v>
      </c>
      <c r="R17" s="161">
        <v>267840</v>
      </c>
      <c r="S17" s="162">
        <f t="shared" si="0"/>
        <v>1639840</v>
      </c>
      <c r="T17" s="164">
        <f t="shared" si="23"/>
        <v>51903340</v>
      </c>
      <c r="U17" s="165">
        <f t="shared" si="1"/>
        <v>159.275236902833</v>
      </c>
      <c r="V17" s="161">
        <v>0</v>
      </c>
      <c r="W17" s="161">
        <v>9201000</v>
      </c>
      <c r="X17" s="161">
        <v>21950250</v>
      </c>
      <c r="Y17" s="161">
        <v>0</v>
      </c>
      <c r="Z17" s="161">
        <v>0</v>
      </c>
      <c r="AA17" s="166">
        <f t="shared" si="2"/>
        <v>31151250</v>
      </c>
      <c r="AB17" s="165">
        <f t="shared" si="3"/>
        <v>95.593515245249662</v>
      </c>
      <c r="AC17" s="161">
        <f t="shared" si="4"/>
        <v>83054590</v>
      </c>
      <c r="AD17" s="167">
        <f t="shared" si="5"/>
        <v>254.86875214808268</v>
      </c>
      <c r="AE17" s="168"/>
      <c r="AF17" s="110">
        <f t="shared" si="6"/>
        <v>41981</v>
      </c>
      <c r="AG17" s="169">
        <f t="shared" si="7"/>
        <v>1.6297810183139392</v>
      </c>
      <c r="AH17" s="170">
        <f t="shared" si="7"/>
        <v>0</v>
      </c>
      <c r="AI17" s="170">
        <f t="shared" si="7"/>
        <v>0</v>
      </c>
      <c r="AJ17" s="170">
        <f t="shared" si="7"/>
        <v>50.875803996661269</v>
      </c>
      <c r="AK17" s="170">
        <f t="shared" si="7"/>
        <v>2.5267589728482349</v>
      </c>
      <c r="AL17" s="170">
        <f t="shared" si="7"/>
        <v>11.75614965385182</v>
      </c>
      <c r="AM17" s="170">
        <f t="shared" si="7"/>
        <v>33.065129866941618</v>
      </c>
      <c r="AN17" s="170">
        <f t="shared" si="7"/>
        <v>5.1400549909166786</v>
      </c>
      <c r="AO17" s="170">
        <f t="shared" si="7"/>
        <v>19.823734472430893</v>
      </c>
      <c r="AP17" s="170">
        <f t="shared" si="7"/>
        <v>0</v>
      </c>
      <c r="AQ17" s="170">
        <f t="shared" si="7"/>
        <v>8.316148671871165</v>
      </c>
      <c r="AR17" s="170">
        <f t="shared" si="7"/>
        <v>21.109515392546768</v>
      </c>
      <c r="AS17" s="170">
        <f t="shared" si="8"/>
        <v>0</v>
      </c>
      <c r="AT17" s="171">
        <f t="shared" si="9"/>
        <v>0</v>
      </c>
      <c r="AU17" s="170">
        <f t="shared" si="10"/>
        <v>4.2102420582314526</v>
      </c>
      <c r="AV17" s="170">
        <f t="shared" si="10"/>
        <v>0.82191780821917804</v>
      </c>
      <c r="AW17" s="171">
        <f t="shared" si="11"/>
        <v>5.0321598664506304</v>
      </c>
      <c r="AX17" s="172">
        <f t="shared" si="12"/>
        <v>159.275236902833</v>
      </c>
      <c r="AY17" s="170">
        <f t="shared" si="13"/>
        <v>0</v>
      </c>
      <c r="AZ17" s="170">
        <f t="shared" si="13"/>
        <v>28.235012520253353</v>
      </c>
      <c r="BA17" s="170">
        <f t="shared" si="13"/>
        <v>67.358502724996313</v>
      </c>
      <c r="BB17" s="170">
        <f t="shared" si="13"/>
        <v>0</v>
      </c>
      <c r="BC17" s="170">
        <f t="shared" si="13"/>
        <v>0</v>
      </c>
      <c r="BD17" s="172">
        <f t="shared" si="14"/>
        <v>95.593515245249662</v>
      </c>
      <c r="BE17" s="173">
        <f t="shared" si="15"/>
        <v>254.86875214808265</v>
      </c>
      <c r="BF17" s="136"/>
      <c r="BG17" s="136"/>
      <c r="BH17" s="200">
        <f t="shared" si="24"/>
        <v>41981</v>
      </c>
      <c r="BI17" s="201">
        <f t="shared" ref="BI17:BU17" si="39">+B17/(31*1000000)</f>
        <v>1.7132258064516129E-2</v>
      </c>
      <c r="BJ17" s="201">
        <f t="shared" si="39"/>
        <v>0</v>
      </c>
      <c r="BK17" s="201">
        <f t="shared" si="39"/>
        <v>0</v>
      </c>
      <c r="BL17" s="201">
        <f t="shared" si="39"/>
        <v>0.53480645161290319</v>
      </c>
      <c r="BM17" s="201">
        <f t="shared" si="39"/>
        <v>2.6561290322580644E-2</v>
      </c>
      <c r="BN17" s="201">
        <f t="shared" si="39"/>
        <v>0.12358064516129032</v>
      </c>
      <c r="BO17" s="201">
        <f t="shared" si="39"/>
        <v>0.34758064516129034</v>
      </c>
      <c r="BP17" s="201">
        <f t="shared" si="39"/>
        <v>5.4032258064516128E-2</v>
      </c>
      <c r="BQ17" s="201">
        <f t="shared" si="39"/>
        <v>0.20838709677419354</v>
      </c>
      <c r="BR17" s="201">
        <f t="shared" si="39"/>
        <v>0</v>
      </c>
      <c r="BS17" s="201">
        <f t="shared" si="39"/>
        <v>8.7419354838709676E-2</v>
      </c>
      <c r="BT17" s="201">
        <f t="shared" si="39"/>
        <v>0.22190322580645161</v>
      </c>
      <c r="BU17" s="202">
        <f t="shared" si="39"/>
        <v>0</v>
      </c>
      <c r="BV17" s="203">
        <f>+P17/(31*1000000)</f>
        <v>0</v>
      </c>
      <c r="BW17" s="201">
        <f>+Q17/(31*1000000)</f>
        <v>4.4258064516129035E-2</v>
      </c>
      <c r="BX17" s="201">
        <f>+R17/(31*1000000)</f>
        <v>8.6400000000000001E-3</v>
      </c>
      <c r="BY17" s="202">
        <f t="shared" si="34"/>
        <v>5.2898064516129037E-2</v>
      </c>
      <c r="BZ17" s="180">
        <f t="shared" si="26"/>
        <v>1.6743012903225802</v>
      </c>
      <c r="CA17" s="203">
        <f>+V17/(31*1000000)</f>
        <v>0</v>
      </c>
      <c r="CB17" s="201">
        <f>+W17/(31*1000000)</f>
        <v>0.2968064516129032</v>
      </c>
      <c r="CC17" s="201">
        <f>+X17/(31*1000000)</f>
        <v>0.70807258064516132</v>
      </c>
      <c r="CD17" s="201">
        <f>+Y17/(31*1000000)</f>
        <v>0</v>
      </c>
      <c r="CE17" s="201">
        <f>+Z17/(31*1000000)</f>
        <v>0</v>
      </c>
      <c r="CF17" s="201">
        <f t="shared" si="17"/>
        <v>1.0048790322580645</v>
      </c>
      <c r="CG17" s="201">
        <f t="shared" si="18"/>
        <v>2.6791803225806445</v>
      </c>
      <c r="CH17" s="202">
        <f t="shared" si="19"/>
        <v>8.2215726499381496</v>
      </c>
      <c r="CI17" s="203">
        <f t="shared" si="20"/>
        <v>2.5907068391057946</v>
      </c>
      <c r="CJ17" s="201">
        <f t="shared" si="21"/>
        <v>1.5548856089356564</v>
      </c>
      <c r="CK17" s="202">
        <f t="shared" si="21"/>
        <v>4.1455924480414508</v>
      </c>
      <c r="CL17" s="181"/>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row>
    <row r="18" spans="1:120" x14ac:dyDescent="0.2">
      <c r="A18" s="205" t="s">
        <v>79</v>
      </c>
      <c r="B18" s="161">
        <f t="shared" ref="B18:R18" si="40">SUM(B6:B17)</f>
        <v>49492100</v>
      </c>
      <c r="C18" s="161">
        <f t="shared" si="40"/>
        <v>0</v>
      </c>
      <c r="D18" s="161">
        <f t="shared" si="40"/>
        <v>0</v>
      </c>
      <c r="E18" s="161">
        <f t="shared" si="40"/>
        <v>155647000</v>
      </c>
      <c r="F18" s="161">
        <f t="shared" si="40"/>
        <v>22651200</v>
      </c>
      <c r="G18" s="161">
        <f t="shared" si="40"/>
        <v>116618000</v>
      </c>
      <c r="H18" s="161">
        <f t="shared" si="40"/>
        <v>84204000</v>
      </c>
      <c r="I18" s="161">
        <f t="shared" si="40"/>
        <v>43077000</v>
      </c>
      <c r="J18" s="161">
        <f t="shared" si="40"/>
        <v>70578080</v>
      </c>
      <c r="K18" s="161">
        <f t="shared" si="40"/>
        <v>50250237</v>
      </c>
      <c r="L18" s="161">
        <f t="shared" si="40"/>
        <v>30727528</v>
      </c>
      <c r="M18" s="161">
        <f t="shared" si="40"/>
        <v>84038682</v>
      </c>
      <c r="N18" s="161">
        <f t="shared" si="40"/>
        <v>10440</v>
      </c>
      <c r="O18" s="162">
        <f t="shared" si="40"/>
        <v>707294267</v>
      </c>
      <c r="P18" s="163">
        <f t="shared" si="40"/>
        <v>0</v>
      </c>
      <c r="Q18" s="161">
        <f t="shared" si="40"/>
        <v>16250000</v>
      </c>
      <c r="R18" s="161">
        <f t="shared" si="40"/>
        <v>3113960</v>
      </c>
      <c r="S18" s="162">
        <f t="shared" si="0"/>
        <v>19363960</v>
      </c>
      <c r="T18" s="164">
        <f t="shared" si="23"/>
        <v>726658227</v>
      </c>
      <c r="U18" s="165">
        <f t="shared" ref="U18:AA18" si="41">SUM(U6:U17)</f>
        <v>2229.8885053026956</v>
      </c>
      <c r="V18" s="161">
        <f t="shared" si="41"/>
        <v>34341222</v>
      </c>
      <c r="W18" s="161">
        <f t="shared" si="41"/>
        <v>257091002</v>
      </c>
      <c r="X18" s="161">
        <f t="shared" si="41"/>
        <v>421155056</v>
      </c>
      <c r="Y18" s="161">
        <f t="shared" si="41"/>
        <v>0</v>
      </c>
      <c r="Z18" s="161">
        <f t="shared" si="41"/>
        <v>0</v>
      </c>
      <c r="AA18" s="161">
        <f t="shared" si="41"/>
        <v>712587280</v>
      </c>
      <c r="AB18" s="165">
        <f>SUM(AB6:AB17)</f>
        <v>2186.709137329995</v>
      </c>
      <c r="AC18" s="161">
        <f>SUM(AC6:AC17)</f>
        <v>1439245507</v>
      </c>
      <c r="AD18" s="167">
        <f t="shared" si="5"/>
        <v>4416.5976426326897</v>
      </c>
      <c r="AE18" s="109"/>
      <c r="AF18" s="110"/>
      <c r="AG18" s="169"/>
      <c r="AH18" s="170"/>
      <c r="AI18" s="170"/>
      <c r="AJ18" s="170"/>
      <c r="AK18" s="170"/>
      <c r="AL18" s="170"/>
      <c r="AM18" s="170"/>
      <c r="AN18" s="170"/>
      <c r="AO18" s="170"/>
      <c r="AP18" s="170"/>
      <c r="AQ18" s="170"/>
      <c r="AR18" s="170"/>
      <c r="AS18" s="170"/>
      <c r="AT18" s="171"/>
      <c r="AU18" s="170"/>
      <c r="AV18" s="170"/>
      <c r="AW18" s="171"/>
      <c r="AX18" s="172"/>
      <c r="AY18" s="170"/>
      <c r="AZ18" s="170"/>
      <c r="BA18" s="170"/>
      <c r="BB18" s="170"/>
      <c r="BC18" s="170"/>
      <c r="BD18" s="172"/>
      <c r="BE18" s="173"/>
      <c r="BF18" s="136"/>
      <c r="BG18" s="136"/>
      <c r="BH18" s="174" t="s">
        <v>80</v>
      </c>
      <c r="BI18" s="175">
        <f t="shared" ref="BI18:CF18" si="42">+AVERAGE(BI6:BI17)</f>
        <v>0.13579459229390681</v>
      </c>
      <c r="BJ18" s="175">
        <f t="shared" si="42"/>
        <v>0</v>
      </c>
      <c r="BK18" s="175">
        <f t="shared" si="42"/>
        <v>0</v>
      </c>
      <c r="BL18" s="175">
        <f t="shared" si="42"/>
        <v>0.42555826292882742</v>
      </c>
      <c r="BM18" s="175">
        <f t="shared" si="42"/>
        <v>6.2370698924731183E-2</v>
      </c>
      <c r="BN18" s="175">
        <f t="shared" si="42"/>
        <v>0.31967821300563237</v>
      </c>
      <c r="BO18" s="175">
        <f t="shared" si="42"/>
        <v>0.2311497567844342</v>
      </c>
      <c r="BP18" s="175">
        <f t="shared" si="42"/>
        <v>0.11738593189964158</v>
      </c>
      <c r="BQ18" s="175">
        <f t="shared" si="42"/>
        <v>0.19361908986175114</v>
      </c>
      <c r="BR18" s="175">
        <f t="shared" si="42"/>
        <v>0.13781459362519202</v>
      </c>
      <c r="BS18" s="175">
        <f t="shared" si="42"/>
        <v>8.3788273118279563E-2</v>
      </c>
      <c r="BT18" s="175">
        <f t="shared" si="42"/>
        <v>0.23025919380440349</v>
      </c>
      <c r="BU18" s="176">
        <f>+AVERAGE(BU6:BU17)</f>
        <v>2.9E-5</v>
      </c>
      <c r="BV18" s="206">
        <f t="shared" si="42"/>
        <v>0</v>
      </c>
      <c r="BW18" s="175">
        <f t="shared" si="42"/>
        <v>4.4518676395289301E-2</v>
      </c>
      <c r="BX18" s="175">
        <f t="shared" si="42"/>
        <v>8.531987455197133E-3</v>
      </c>
      <c r="BY18" s="176">
        <f t="shared" si="42"/>
        <v>5.3050663850486429E-2</v>
      </c>
      <c r="BZ18" s="207">
        <f t="shared" si="42"/>
        <v>1.9904692700972866</v>
      </c>
      <c r="CA18" s="206">
        <f t="shared" si="42"/>
        <v>9.3730838709677411E-2</v>
      </c>
      <c r="CB18" s="175">
        <f t="shared" si="42"/>
        <v>0.70437871966205845</v>
      </c>
      <c r="CC18" s="175">
        <f t="shared" si="42"/>
        <v>1.1522030913978496</v>
      </c>
      <c r="CD18" s="175">
        <f t="shared" si="42"/>
        <v>0</v>
      </c>
      <c r="CE18" s="175">
        <f t="shared" si="42"/>
        <v>0</v>
      </c>
      <c r="CF18" s="175">
        <f t="shared" si="42"/>
        <v>1.9503126497695851</v>
      </c>
      <c r="CG18" s="175">
        <f t="shared" si="18"/>
        <v>3.9407819198668719</v>
      </c>
      <c r="CH18" s="176">
        <f>+AVERAGE(CH6:CH17)</f>
        <v>12.093036283776671</v>
      </c>
      <c r="CI18" s="206">
        <f>+AVERAGE(CI6:CI17)</f>
        <v>3.0799249698227467</v>
      </c>
      <c r="CJ18" s="175">
        <f>+AVERAGE(CJ6:CJ17)</f>
        <v>3.0177891812883506</v>
      </c>
      <c r="CK18" s="176">
        <f>+AVERAGE(CK6:CK17)</f>
        <v>6.0977141511110977</v>
      </c>
    </row>
    <row r="19" spans="1:120" ht="13.5" thickBot="1" x14ac:dyDescent="0.25">
      <c r="A19" s="208" t="s">
        <v>81</v>
      </c>
      <c r="B19" s="209">
        <f t="shared" ref="B19:R19" si="43">+B18/325872</f>
        <v>151.87588991996859</v>
      </c>
      <c r="C19" s="209">
        <f t="shared" si="43"/>
        <v>0</v>
      </c>
      <c r="D19" s="209">
        <f t="shared" si="43"/>
        <v>0</v>
      </c>
      <c r="E19" s="209">
        <f t="shared" si="43"/>
        <v>477.63232189325868</v>
      </c>
      <c r="F19" s="209">
        <f t="shared" si="43"/>
        <v>69.509500662836942</v>
      </c>
      <c r="G19" s="209">
        <f t="shared" si="43"/>
        <v>357.86443757057987</v>
      </c>
      <c r="H19" s="209">
        <f t="shared" si="43"/>
        <v>258.39593460008837</v>
      </c>
      <c r="I19" s="209">
        <f t="shared" si="43"/>
        <v>132.18993960818972</v>
      </c>
      <c r="J19" s="209">
        <f t="shared" si="43"/>
        <v>216.5822163303383</v>
      </c>
      <c r="K19" s="209">
        <f t="shared" si="43"/>
        <v>154.20237700692297</v>
      </c>
      <c r="L19" s="209">
        <f t="shared" si="43"/>
        <v>94.293243973093723</v>
      </c>
      <c r="M19" s="209">
        <f t="shared" si="43"/>
        <v>257.88862498158784</v>
      </c>
      <c r="N19" s="209">
        <f t="shared" si="43"/>
        <v>3.2037118868758284E-2</v>
      </c>
      <c r="O19" s="210">
        <f t="shared" si="43"/>
        <v>2170.4665236657338</v>
      </c>
      <c r="P19" s="211">
        <f t="shared" si="43"/>
        <v>0</v>
      </c>
      <c r="Q19" s="209">
        <f t="shared" si="43"/>
        <v>49.866205135758825</v>
      </c>
      <c r="R19" s="209">
        <f t="shared" si="43"/>
        <v>9.5557765012029261</v>
      </c>
      <c r="S19" s="210">
        <f t="shared" si="0"/>
        <v>59.421981636961753</v>
      </c>
      <c r="T19" s="212">
        <f t="shared" si="23"/>
        <v>2229.8885053026956</v>
      </c>
      <c r="U19" s="213"/>
      <c r="V19" s="209">
        <f>+V18/325872</f>
        <v>105.38254897628516</v>
      </c>
      <c r="W19" s="209">
        <f>+W18/325872</f>
        <v>788.93247041783275</v>
      </c>
      <c r="X19" s="209">
        <f>+X18/325872</f>
        <v>1292.3941179358767</v>
      </c>
      <c r="Y19" s="209">
        <f>+Y18/325872</f>
        <v>0</v>
      </c>
      <c r="Z19" s="209">
        <f>+Z18/325872</f>
        <v>0</v>
      </c>
      <c r="AA19" s="214">
        <f>SUM(V19:Y19)</f>
        <v>2186.7091373299945</v>
      </c>
      <c r="AB19" s="213"/>
      <c r="AC19" s="209">
        <f>+AA19+T19</f>
        <v>4416.5976426326906</v>
      </c>
      <c r="AD19" s="215">
        <f>SUM(AD6:AD17)</f>
        <v>4416.5976426326906</v>
      </c>
      <c r="AE19" s="168"/>
      <c r="AF19" s="216" t="str">
        <f>+A19</f>
        <v>Total Yr (Ac-Ft)</v>
      </c>
      <c r="AG19" s="217">
        <f t="shared" ref="AG19:BE19" si="44">SUM(AG6:AG18)</f>
        <v>151.87588991996856</v>
      </c>
      <c r="AH19" s="218">
        <f t="shared" si="44"/>
        <v>0</v>
      </c>
      <c r="AI19" s="218">
        <f t="shared" si="44"/>
        <v>0</v>
      </c>
      <c r="AJ19" s="218">
        <f t="shared" si="44"/>
        <v>477.63232189325868</v>
      </c>
      <c r="AK19" s="218">
        <f t="shared" si="44"/>
        <v>69.509500662836928</v>
      </c>
      <c r="AL19" s="218">
        <f t="shared" si="44"/>
        <v>357.86443757057987</v>
      </c>
      <c r="AM19" s="218">
        <f t="shared" si="44"/>
        <v>258.39593460008837</v>
      </c>
      <c r="AN19" s="218">
        <f t="shared" si="44"/>
        <v>132.18993960818972</v>
      </c>
      <c r="AO19" s="218">
        <f t="shared" si="44"/>
        <v>216.58221633033827</v>
      </c>
      <c r="AP19" s="218">
        <f t="shared" si="44"/>
        <v>154.20237700692297</v>
      </c>
      <c r="AQ19" s="218">
        <f t="shared" si="44"/>
        <v>94.293243973093738</v>
      </c>
      <c r="AR19" s="218">
        <f t="shared" si="44"/>
        <v>257.8886249815879</v>
      </c>
      <c r="AS19" s="218">
        <f t="shared" si="44"/>
        <v>0</v>
      </c>
      <c r="AT19" s="219">
        <f t="shared" si="44"/>
        <v>3.2037118868758284E-2</v>
      </c>
      <c r="AU19" s="218">
        <f t="shared" si="44"/>
        <v>49.866205135758818</v>
      </c>
      <c r="AV19" s="218">
        <f t="shared" si="44"/>
        <v>9.5557765012029261</v>
      </c>
      <c r="AW19" s="219">
        <f t="shared" si="44"/>
        <v>59.42198163696176</v>
      </c>
      <c r="AX19" s="220">
        <f t="shared" si="44"/>
        <v>2229.8885053026956</v>
      </c>
      <c r="AY19" s="218">
        <f t="shared" si="44"/>
        <v>105.38254897628518</v>
      </c>
      <c r="AZ19" s="218">
        <f t="shared" si="44"/>
        <v>788.93247041783275</v>
      </c>
      <c r="BA19" s="218">
        <f t="shared" si="44"/>
        <v>1292.3941179358767</v>
      </c>
      <c r="BB19" s="218">
        <f t="shared" si="44"/>
        <v>0</v>
      </c>
      <c r="BC19" s="218">
        <f t="shared" si="44"/>
        <v>0</v>
      </c>
      <c r="BD19" s="220">
        <f t="shared" si="44"/>
        <v>2186.709137329995</v>
      </c>
      <c r="BE19" s="221">
        <f t="shared" si="44"/>
        <v>4416.5976426326906</v>
      </c>
      <c r="BF19" s="107"/>
      <c r="BG19" s="107"/>
      <c r="BH19" s="222" t="s">
        <v>82</v>
      </c>
      <c r="BI19" s="223">
        <f t="shared" ref="BI19:CF19" si="45">+BI18/(325872/1000000)</f>
        <v>0.41671144588644254</v>
      </c>
      <c r="BJ19" s="223">
        <f t="shared" si="45"/>
        <v>0</v>
      </c>
      <c r="BK19" s="223">
        <f t="shared" si="45"/>
        <v>0</v>
      </c>
      <c r="BL19" s="223">
        <f t="shared" si="45"/>
        <v>1.3059061930108369</v>
      </c>
      <c r="BM19" s="223">
        <f t="shared" si="45"/>
        <v>0.19139631181792602</v>
      </c>
      <c r="BN19" s="223">
        <f t="shared" si="45"/>
        <v>0.98099319059517964</v>
      </c>
      <c r="BO19" s="223">
        <f t="shared" si="45"/>
        <v>0.70932684239343735</v>
      </c>
      <c r="BP19" s="223">
        <f t="shared" si="45"/>
        <v>0.36022098216367648</v>
      </c>
      <c r="BQ19" s="223">
        <f t="shared" si="45"/>
        <v>0.59415687712276954</v>
      </c>
      <c r="BR19" s="223">
        <f t="shared" si="45"/>
        <v>0.42291020285631176</v>
      </c>
      <c r="BS19" s="223">
        <f t="shared" si="45"/>
        <v>0.25712019786382251</v>
      </c>
      <c r="BT19" s="223">
        <f t="shared" si="45"/>
        <v>0.70659398108583582</v>
      </c>
      <c r="BU19" s="224">
        <f>+BU18/(325872/1000000)</f>
        <v>8.8991996857661903E-5</v>
      </c>
      <c r="BV19" s="225">
        <f t="shared" si="45"/>
        <v>0</v>
      </c>
      <c r="BW19" s="223">
        <f t="shared" si="45"/>
        <v>0.13661399689230527</v>
      </c>
      <c r="BX19" s="223">
        <f t="shared" si="45"/>
        <v>2.6182020717328072E-2</v>
      </c>
      <c r="BY19" s="224">
        <f t="shared" si="45"/>
        <v>0.16279601760963333</v>
      </c>
      <c r="BZ19" s="226">
        <f t="shared" si="45"/>
        <v>6.1081322424058726</v>
      </c>
      <c r="CA19" s="225">
        <f t="shared" si="45"/>
        <v>0.28763084496267677</v>
      </c>
      <c r="CB19" s="223">
        <f t="shared" si="45"/>
        <v>2.1615196140265458</v>
      </c>
      <c r="CC19" s="223">
        <f t="shared" si="45"/>
        <v>3.5357535823815782</v>
      </c>
      <c r="CD19" s="223">
        <f t="shared" si="45"/>
        <v>0</v>
      </c>
      <c r="CE19" s="223">
        <f t="shared" si="45"/>
        <v>0</v>
      </c>
      <c r="CF19" s="223">
        <f t="shared" si="45"/>
        <v>5.9849040413707995</v>
      </c>
      <c r="CG19" s="223">
        <f t="shared" si="18"/>
        <v>12.093036283776673</v>
      </c>
      <c r="CH19" s="224">
        <f>+CH18/(325872/1000000)</f>
        <v>37.109774033291202</v>
      </c>
      <c r="CI19" s="225"/>
      <c r="CJ19" s="223"/>
      <c r="CK19" s="224"/>
    </row>
    <row r="20" spans="1:120" x14ac:dyDescent="0.2">
      <c r="A20" s="104"/>
      <c r="B20" s="107"/>
      <c r="C20" s="227"/>
      <c r="N20" s="227">
        <f>SUM(B12:N12)</f>
        <v>63529925</v>
      </c>
      <c r="O20" s="228">
        <f t="shared" ref="O20:O25" si="46">+O6/325872</f>
        <v>197.52817057003978</v>
      </c>
      <c r="Q20" s="228">
        <f t="shared" ref="Q20:Q32" si="47">+Q6/325872</f>
        <v>4.1120439927333434</v>
      </c>
      <c r="S20" s="227"/>
      <c r="T20" s="229"/>
      <c r="V20" s="230">
        <f t="shared" ref="V20:V31" si="48">+A6</f>
        <v>41640</v>
      </c>
      <c r="W20" s="231">
        <f t="shared" ref="W20:W31" si="49">SUM(V6:Y6)</f>
        <v>60695250</v>
      </c>
      <c r="Z20" s="231"/>
      <c r="AA20" s="231"/>
      <c r="AB20" s="232"/>
      <c r="AC20" s="233"/>
      <c r="AG20" s="74">
        <f t="shared" ref="AG20:AR20" si="50">+AG19/$AX$19</f>
        <v>6.8109185530490099E-2</v>
      </c>
      <c r="AH20" s="74">
        <f t="shared" si="50"/>
        <v>0</v>
      </c>
      <c r="AI20" s="74">
        <f t="shared" si="50"/>
        <v>0</v>
      </c>
      <c r="AJ20" s="74">
        <f t="shared" si="50"/>
        <v>0.21419560698099685</v>
      </c>
      <c r="AK20" s="74">
        <f t="shared" si="50"/>
        <v>3.1171738182219733E-2</v>
      </c>
      <c r="AL20" s="74">
        <f t="shared" si="50"/>
        <v>0.16048535015072499</v>
      </c>
      <c r="AM20" s="74">
        <f t="shared" si="50"/>
        <v>0.11587841005755239</v>
      </c>
      <c r="AN20" s="74">
        <f t="shared" si="50"/>
        <v>5.9280963731523265E-2</v>
      </c>
      <c r="AO20" s="74">
        <f t="shared" si="50"/>
        <v>9.7126926218644452E-2</v>
      </c>
      <c r="AP20" s="74">
        <f t="shared" si="50"/>
        <v>6.9152505446002474E-2</v>
      </c>
      <c r="AQ20" s="74">
        <f t="shared" si="50"/>
        <v>4.2286080110670789E-2</v>
      </c>
      <c r="AR20" s="74">
        <f t="shared" si="50"/>
        <v>0.11565090558040295</v>
      </c>
      <c r="AT20" s="74">
        <f>+AT19/$AX$19</f>
        <v>1.4367139340183922E-5</v>
      </c>
      <c r="AU20" s="74">
        <f>+AU19/$AX$19</f>
        <v>2.2362645045784359E-2</v>
      </c>
      <c r="AV20" s="74">
        <f>+AV19/$AX$19</f>
        <v>4.2853158256474259E-3</v>
      </c>
      <c r="AX20" s="234"/>
      <c r="AY20" s="74">
        <f>+AY19/$BE$19</f>
        <v>2.3860572663229444E-2</v>
      </c>
      <c r="AZ20" s="74">
        <f>+AZ19/$BE$19</f>
        <v>0.17862901134629003</v>
      </c>
      <c r="BA20" s="74">
        <f>+BA19/$BE$19</f>
        <v>0.29262210925908416</v>
      </c>
      <c r="BB20" s="74">
        <f>+BB19/$BE$19</f>
        <v>0</v>
      </c>
      <c r="BC20" s="74">
        <f>+BC19/$BE$19</f>
        <v>0</v>
      </c>
      <c r="BD20" s="235"/>
      <c r="BE20" s="236">
        <f>SUM(AG20:BD20)</f>
        <v>1.4951116932686037</v>
      </c>
      <c r="BF20" s="237"/>
      <c r="BG20" s="97"/>
    </row>
    <row r="21" spans="1:120" ht="13.5" thickBot="1" x14ac:dyDescent="0.25">
      <c r="A21" s="238"/>
      <c r="B21" s="239">
        <f>+A6</f>
        <v>41640</v>
      </c>
      <c r="C21" s="239">
        <f t="shared" ref="C21:J21" si="51">31+B21</f>
        <v>41671</v>
      </c>
      <c r="D21" s="239">
        <f t="shared" si="51"/>
        <v>41702</v>
      </c>
      <c r="E21" s="239">
        <f t="shared" si="51"/>
        <v>41733</v>
      </c>
      <c r="F21" s="239">
        <f t="shared" si="51"/>
        <v>41764</v>
      </c>
      <c r="G21" s="239">
        <f t="shared" si="51"/>
        <v>41795</v>
      </c>
      <c r="H21" s="239">
        <f t="shared" si="51"/>
        <v>41826</v>
      </c>
      <c r="I21" s="239">
        <f t="shared" si="51"/>
        <v>41857</v>
      </c>
      <c r="J21" s="239">
        <f t="shared" si="51"/>
        <v>41888</v>
      </c>
      <c r="K21" s="239">
        <f>31+J21</f>
        <v>41919</v>
      </c>
      <c r="L21" s="239">
        <f>31+K21</f>
        <v>41950</v>
      </c>
      <c r="M21" s="239">
        <f>31+L21</f>
        <v>41981</v>
      </c>
      <c r="N21" s="239"/>
      <c r="O21" s="228">
        <f t="shared" si="46"/>
        <v>160.23745519713262</v>
      </c>
      <c r="P21" s="82"/>
      <c r="Q21" s="228">
        <f t="shared" si="47"/>
        <v>3.7438012471154316</v>
      </c>
      <c r="R21" s="441" t="s">
        <v>83</v>
      </c>
      <c r="S21" s="441"/>
      <c r="T21" s="229"/>
      <c r="V21" s="230">
        <f t="shared" si="48"/>
        <v>41671</v>
      </c>
      <c r="W21" s="231">
        <f t="shared" si="49"/>
        <v>43462540</v>
      </c>
      <c r="Z21" s="240">
        <f>+Z10/325872</f>
        <v>0</v>
      </c>
      <c r="AB21" s="232">
        <v>2154</v>
      </c>
      <c r="AC21" s="72"/>
      <c r="AF21" s="241"/>
      <c r="AT21" s="235"/>
      <c r="AX21" s="242"/>
      <c r="AZ21" s="85"/>
      <c r="BA21" s="85"/>
      <c r="BB21" s="85"/>
      <c r="BC21" s="85"/>
      <c r="BD21" s="85"/>
      <c r="BE21" s="85"/>
      <c r="BF21" s="237" t="s">
        <v>4</v>
      </c>
      <c r="BG21" s="97"/>
    </row>
    <row r="22" spans="1:120" x14ac:dyDescent="0.2">
      <c r="A22" s="80" t="s">
        <v>30</v>
      </c>
      <c r="B22" s="243">
        <f>+U6</f>
        <v>202.59911867236215</v>
      </c>
      <c r="C22" s="243">
        <f>+U7</f>
        <v>164.72363381941375</v>
      </c>
      <c r="D22" s="243">
        <f>+U8</f>
        <v>193.15560097216084</v>
      </c>
      <c r="E22" s="243">
        <f>+U9</f>
        <v>164.81823538076299</v>
      </c>
      <c r="F22" s="243">
        <f>+U10</f>
        <v>171.596946040163</v>
      </c>
      <c r="G22" s="243">
        <f>+U11</f>
        <v>186.90528796582709</v>
      </c>
      <c r="H22" s="243">
        <f>+U12</f>
        <v>200.10238682672951</v>
      </c>
      <c r="I22" s="243">
        <f>+U13</f>
        <v>184.7453601414052</v>
      </c>
      <c r="J22" s="243">
        <f>+U14</f>
        <v>199.11607011341877</v>
      </c>
      <c r="K22" s="243">
        <f>+U15</f>
        <v>212.06522806500712</v>
      </c>
      <c r="L22" s="243">
        <f>+U16</f>
        <v>190.78540040261205</v>
      </c>
      <c r="M22" s="243">
        <f>+U17</f>
        <v>159.275236902833</v>
      </c>
      <c r="N22" s="243">
        <f>SUM(B22:M22)</f>
        <v>2229.8885053026956</v>
      </c>
      <c r="O22" s="228">
        <f>+O8/325872</f>
        <v>188.23980581332549</v>
      </c>
      <c r="P22" s="82"/>
      <c r="Q22" s="228">
        <f t="shared" si="47"/>
        <v>4.1734177836696613</v>
      </c>
      <c r="R22" s="232">
        <f>T18/325851</f>
        <v>2230.0322141101301</v>
      </c>
      <c r="S22" s="60">
        <f>R22/R24</f>
        <v>0.50488830673139629</v>
      </c>
      <c r="T22" s="229"/>
      <c r="V22" s="230">
        <f t="shared" si="48"/>
        <v>41702</v>
      </c>
      <c r="W22" s="231">
        <f t="shared" si="49"/>
        <v>43119750</v>
      </c>
      <c r="Z22" s="231"/>
      <c r="AB22" s="232">
        <f>+AB21-AB18</f>
        <v>-32.709137329994974</v>
      </c>
      <c r="AC22" s="62"/>
      <c r="AG22" s="235"/>
      <c r="AJ22" s="235"/>
      <c r="AK22" s="235"/>
      <c r="AL22" s="235"/>
      <c r="AM22" s="235"/>
      <c r="AN22" s="235"/>
      <c r="AO22" s="235"/>
      <c r="AP22" s="235"/>
      <c r="AQ22" s="235"/>
      <c r="AR22" s="235"/>
      <c r="AT22" s="235"/>
      <c r="AU22" s="235"/>
      <c r="BF22" s="237" t="s">
        <v>71</v>
      </c>
      <c r="BG22" s="97"/>
    </row>
    <row r="23" spans="1:120" ht="13.5" thickBot="1" x14ac:dyDescent="0.25">
      <c r="A23" s="80" t="s">
        <v>5</v>
      </c>
      <c r="B23" s="243">
        <f>+AB6</f>
        <v>186.25487921637944</v>
      </c>
      <c r="C23" s="243">
        <f>+AB7</f>
        <v>133.37304217606913</v>
      </c>
      <c r="D23" s="243">
        <f>+AB8</f>
        <v>132.3211260863161</v>
      </c>
      <c r="E23" s="243">
        <f>+AB9</f>
        <v>191.90740536161437</v>
      </c>
      <c r="F23" s="243">
        <f>+AB10</f>
        <v>256.23324495507438</v>
      </c>
      <c r="G23" s="243">
        <f>+AB11</f>
        <v>239.36468920312271</v>
      </c>
      <c r="H23" s="243">
        <f>+AB12</f>
        <v>226.03430181175432</v>
      </c>
      <c r="I23" s="243">
        <f>+AB13</f>
        <v>221.14587936367653</v>
      </c>
      <c r="J23" s="243">
        <f>+AB14</f>
        <v>202.08011120930917</v>
      </c>
      <c r="K23" s="243">
        <f>+AB15</f>
        <v>174.19723081455297</v>
      </c>
      <c r="L23" s="243">
        <f>+AB16</f>
        <v>128.20371188687582</v>
      </c>
      <c r="M23" s="243">
        <f>+AB17</f>
        <v>95.593515245249662</v>
      </c>
      <c r="N23" s="243">
        <f>SUM(B23:M23)</f>
        <v>2186.709137329995</v>
      </c>
      <c r="O23" s="228">
        <f>+O9/325872</f>
        <v>159.90244022192763</v>
      </c>
      <c r="P23" s="82"/>
      <c r="Q23" s="228">
        <f t="shared" si="47"/>
        <v>4.1734177836696613</v>
      </c>
      <c r="R23" s="232">
        <f>AA18/325851</f>
        <v>2186.850063372523</v>
      </c>
      <c r="S23" s="60">
        <f>R23/R24</f>
        <v>0.49511169326860366</v>
      </c>
      <c r="T23" s="227"/>
      <c r="V23" s="230">
        <f t="shared" si="48"/>
        <v>41733</v>
      </c>
      <c r="W23" s="231">
        <f t="shared" si="49"/>
        <v>62537250</v>
      </c>
      <c r="X23" s="227">
        <f t="shared" ref="X23:X31" si="52">+V9+W9</f>
        <v>28431000</v>
      </c>
      <c r="Y23" s="79"/>
      <c r="Z23" s="69"/>
      <c r="AA23" s="79"/>
      <c r="AB23" s="232"/>
      <c r="AC23" s="231"/>
      <c r="AG23" s="244"/>
      <c r="AH23" s="244"/>
      <c r="AI23" s="244"/>
      <c r="AJ23" s="244"/>
      <c r="AK23" s="244"/>
      <c r="AL23" s="244"/>
      <c r="AM23" s="244"/>
      <c r="AN23" s="244"/>
      <c r="AO23" s="244"/>
      <c r="AP23" s="244"/>
      <c r="AQ23" s="244"/>
      <c r="AR23" s="244"/>
      <c r="AS23" s="244"/>
      <c r="AT23" s="244"/>
      <c r="BF23" s="245" t="s">
        <v>69</v>
      </c>
      <c r="BG23" s="97"/>
      <c r="BN23" s="61"/>
    </row>
    <row r="24" spans="1:120" x14ac:dyDescent="0.2">
      <c r="A24" s="80" t="s">
        <v>4</v>
      </c>
      <c r="B24" s="243">
        <f>+AD6</f>
        <v>388.85399788874162</v>
      </c>
      <c r="C24" s="243">
        <f>+AD7</f>
        <v>298.09667599548288</v>
      </c>
      <c r="D24" s="243">
        <f>+AD8</f>
        <v>325.47672705847697</v>
      </c>
      <c r="E24" s="243">
        <f>+AD9</f>
        <v>356.72564074237738</v>
      </c>
      <c r="F24" s="243">
        <f>+AD10</f>
        <v>427.83019099523739</v>
      </c>
      <c r="G24" s="243">
        <f>+AD11</f>
        <v>426.26997716894977</v>
      </c>
      <c r="H24" s="243">
        <f>+AD12</f>
        <v>426.1366886384838</v>
      </c>
      <c r="I24" s="243">
        <f>+AD13</f>
        <v>405.89123950508173</v>
      </c>
      <c r="J24" s="243">
        <f>+AD14</f>
        <v>401.19618132272797</v>
      </c>
      <c r="K24" s="243">
        <f>+AD15</f>
        <v>386.26245887956009</v>
      </c>
      <c r="L24" s="243">
        <f>+AD16</f>
        <v>318.98911228948788</v>
      </c>
      <c r="M24" s="243">
        <f>+AD17</f>
        <v>254.86875214808268</v>
      </c>
      <c r="N24" s="243">
        <f>SUM(B24:M24)</f>
        <v>4416.5976426326906</v>
      </c>
      <c r="O24" s="228">
        <f t="shared" si="46"/>
        <v>166.68728826042127</v>
      </c>
      <c r="P24" s="82"/>
      <c r="Q24" s="228">
        <f t="shared" si="47"/>
        <v>4.1672804045760294</v>
      </c>
      <c r="R24" s="78">
        <f>SUM(R22:R23)</f>
        <v>4416.8822774826531</v>
      </c>
      <c r="S24" s="227"/>
      <c r="T24" s="246"/>
      <c r="V24" s="230">
        <f t="shared" si="48"/>
        <v>41764</v>
      </c>
      <c r="W24" s="231">
        <f t="shared" si="49"/>
        <v>83499240</v>
      </c>
      <c r="X24" s="231">
        <f t="shared" si="52"/>
        <v>32938928</v>
      </c>
      <c r="AB24" s="247"/>
      <c r="AD24" s="233">
        <f>+AD19</f>
        <v>4416.5976426326906</v>
      </c>
      <c r="BF24" s="227" t="e">
        <f>+#REF!/0.325872</f>
        <v>#REF!</v>
      </c>
      <c r="BG24" s="227"/>
    </row>
    <row r="25" spans="1:120" x14ac:dyDescent="0.2">
      <c r="A25" s="80"/>
      <c r="B25" s="248">
        <f t="shared" ref="B25:N25" si="53">+B22+B23</f>
        <v>388.85399788874156</v>
      </c>
      <c r="C25" s="248">
        <f t="shared" si="53"/>
        <v>298.09667599548288</v>
      </c>
      <c r="D25" s="248">
        <f t="shared" si="53"/>
        <v>325.47672705847697</v>
      </c>
      <c r="E25" s="248">
        <f t="shared" si="53"/>
        <v>356.72564074237732</v>
      </c>
      <c r="F25" s="248">
        <f t="shared" si="53"/>
        <v>427.83019099523739</v>
      </c>
      <c r="G25" s="248">
        <f t="shared" si="53"/>
        <v>426.26997716894982</v>
      </c>
      <c r="H25" s="248">
        <f t="shared" si="53"/>
        <v>426.13668863848386</v>
      </c>
      <c r="I25" s="248">
        <f t="shared" si="53"/>
        <v>405.89123950508173</v>
      </c>
      <c r="J25" s="248">
        <f t="shared" si="53"/>
        <v>401.19618132272797</v>
      </c>
      <c r="K25" s="248">
        <f t="shared" si="53"/>
        <v>386.26245887956009</v>
      </c>
      <c r="L25" s="248">
        <f t="shared" si="53"/>
        <v>318.98911228948788</v>
      </c>
      <c r="M25" s="248">
        <f t="shared" si="53"/>
        <v>254.86875214808265</v>
      </c>
      <c r="N25" s="248">
        <f t="shared" si="53"/>
        <v>4416.5976426326906</v>
      </c>
      <c r="O25" s="228">
        <f t="shared" si="46"/>
        <v>182.02238915893358</v>
      </c>
      <c r="P25" s="249"/>
      <c r="Q25" s="228">
        <f t="shared" si="47"/>
        <v>4.0874944763588159</v>
      </c>
      <c r="S25" s="227"/>
      <c r="V25" s="230">
        <f t="shared" si="48"/>
        <v>41795</v>
      </c>
      <c r="W25" s="231">
        <f t="shared" si="49"/>
        <v>78002250</v>
      </c>
      <c r="X25" s="231">
        <f t="shared" si="52"/>
        <v>27637500</v>
      </c>
      <c r="AC25" s="231"/>
      <c r="AD25" s="250">
        <f>+T19</f>
        <v>2229.8885053026956</v>
      </c>
      <c r="AE25" s="64">
        <f>+AD25/AD24</f>
        <v>0.50488830673139629</v>
      </c>
      <c r="BF25" s="227" t="e">
        <f>+#REF!/0.325872</f>
        <v>#REF!</v>
      </c>
      <c r="BG25" s="227"/>
    </row>
    <row r="26" spans="1:120" x14ac:dyDescent="0.2">
      <c r="A26" s="80" t="s">
        <v>84</v>
      </c>
      <c r="B26" s="249"/>
      <c r="C26" s="249"/>
      <c r="D26" s="249"/>
      <c r="E26" s="249"/>
      <c r="F26" s="249"/>
      <c r="G26" s="249"/>
      <c r="H26" s="249"/>
      <c r="I26" s="249"/>
      <c r="J26" s="249"/>
      <c r="K26" s="249"/>
      <c r="L26" s="249"/>
      <c r="M26" s="249"/>
      <c r="N26" s="249"/>
      <c r="O26" s="82"/>
      <c r="P26" s="249"/>
      <c r="Q26" s="228">
        <f t="shared" si="47"/>
        <v>4.3268522610104583</v>
      </c>
      <c r="R26" s="442">
        <f>R24*325851</f>
        <v>1439245507</v>
      </c>
      <c r="S26" s="442"/>
      <c r="V26" s="230">
        <f t="shared" si="48"/>
        <v>41826</v>
      </c>
      <c r="W26" s="231">
        <f t="shared" si="49"/>
        <v>73658250</v>
      </c>
      <c r="X26" s="231">
        <f t="shared" si="52"/>
        <v>26851500</v>
      </c>
      <c r="AB26" s="181"/>
      <c r="AC26" s="231"/>
      <c r="AD26" s="250">
        <f>+AA19</f>
        <v>2186.7091373299945</v>
      </c>
      <c r="AE26" s="64">
        <f>+AD26/AD24</f>
        <v>0.4951116932686036</v>
      </c>
      <c r="BF26" s="227"/>
      <c r="BG26" s="227"/>
    </row>
    <row r="27" spans="1:120" x14ac:dyDescent="0.2">
      <c r="A27" s="80" t="s">
        <v>30</v>
      </c>
      <c r="B27" s="251">
        <v>250</v>
      </c>
      <c r="C27" s="251">
        <v>230</v>
      </c>
      <c r="D27" s="251">
        <v>245</v>
      </c>
      <c r="E27" s="251">
        <v>260</v>
      </c>
      <c r="F27" s="251">
        <v>275</v>
      </c>
      <c r="G27" s="251">
        <v>275</v>
      </c>
      <c r="H27" s="251">
        <v>225</v>
      </c>
      <c r="I27" s="251">
        <v>250</v>
      </c>
      <c r="J27" s="251">
        <v>240</v>
      </c>
      <c r="K27" s="251">
        <v>250</v>
      </c>
      <c r="L27" s="251">
        <v>240</v>
      </c>
      <c r="M27" s="251">
        <v>250</v>
      </c>
      <c r="N27" s="82">
        <f>SUM(B27:M27)</f>
        <v>2990</v>
      </c>
      <c r="O27" s="252"/>
      <c r="P27" s="249"/>
      <c r="Q27" s="228">
        <f t="shared" si="47"/>
        <v>4.3575391564786177</v>
      </c>
      <c r="S27" s="227"/>
      <c r="V27" s="230">
        <f t="shared" si="48"/>
        <v>41857</v>
      </c>
      <c r="W27" s="231">
        <f t="shared" si="49"/>
        <v>72065250</v>
      </c>
      <c r="X27" s="231">
        <f t="shared" si="52"/>
        <v>26052000</v>
      </c>
      <c r="AC27" s="231"/>
      <c r="AD27" s="250"/>
      <c r="BF27" s="227"/>
      <c r="BG27" s="227"/>
    </row>
    <row r="28" spans="1:120" x14ac:dyDescent="0.2">
      <c r="A28" s="80" t="s">
        <v>5</v>
      </c>
      <c r="B28" s="251">
        <v>80</v>
      </c>
      <c r="C28" s="253">
        <v>80</v>
      </c>
      <c r="D28" s="253">
        <v>80</v>
      </c>
      <c r="E28" s="253">
        <v>80</v>
      </c>
      <c r="F28" s="253">
        <v>110</v>
      </c>
      <c r="G28" s="253">
        <v>130</v>
      </c>
      <c r="H28" s="253">
        <v>225</v>
      </c>
      <c r="I28" s="253">
        <v>235</v>
      </c>
      <c r="J28" s="253">
        <v>240</v>
      </c>
      <c r="K28" s="253">
        <v>160</v>
      </c>
      <c r="L28" s="253">
        <v>110</v>
      </c>
      <c r="M28" s="253">
        <v>60</v>
      </c>
      <c r="N28" s="82">
        <f>SUM(B28:M28)</f>
        <v>1590</v>
      </c>
      <c r="P28" s="249"/>
      <c r="Q28" s="228">
        <f t="shared" si="47"/>
        <v>4.1856925418569251</v>
      </c>
      <c r="S28" s="227"/>
      <c r="V28" s="230">
        <f t="shared" si="48"/>
        <v>41888</v>
      </c>
      <c r="W28" s="231">
        <f t="shared" si="49"/>
        <v>65852250</v>
      </c>
      <c r="X28" s="231">
        <f t="shared" si="52"/>
        <v>25058250</v>
      </c>
      <c r="AB28" s="181"/>
      <c r="BF28" s="227"/>
      <c r="BG28" s="227"/>
    </row>
    <row r="29" spans="1:120" x14ac:dyDescent="0.2">
      <c r="A29" s="80" t="s">
        <v>4</v>
      </c>
      <c r="B29" s="254">
        <f t="shared" ref="B29:M29" si="54">+B27+B28</f>
        <v>330</v>
      </c>
      <c r="C29" s="254">
        <f t="shared" si="54"/>
        <v>310</v>
      </c>
      <c r="D29" s="254">
        <f t="shared" si="54"/>
        <v>325</v>
      </c>
      <c r="E29" s="254">
        <f t="shared" si="54"/>
        <v>340</v>
      </c>
      <c r="F29" s="254">
        <f t="shared" si="54"/>
        <v>385</v>
      </c>
      <c r="G29" s="254">
        <f t="shared" si="54"/>
        <v>405</v>
      </c>
      <c r="H29" s="254">
        <f t="shared" si="54"/>
        <v>450</v>
      </c>
      <c r="I29" s="254">
        <f t="shared" si="54"/>
        <v>485</v>
      </c>
      <c r="J29" s="254">
        <f t="shared" si="54"/>
        <v>480</v>
      </c>
      <c r="K29" s="254">
        <f t="shared" si="54"/>
        <v>410</v>
      </c>
      <c r="L29" s="254">
        <f t="shared" si="54"/>
        <v>350</v>
      </c>
      <c r="M29" s="254">
        <f t="shared" si="54"/>
        <v>310</v>
      </c>
      <c r="N29" s="82">
        <f>SUM(B29:M29)</f>
        <v>4580</v>
      </c>
      <c r="O29" s="255"/>
      <c r="P29" s="249"/>
      <c r="Q29" s="228">
        <f t="shared" si="47"/>
        <v>4.1826238523101091</v>
      </c>
      <c r="S29" s="227"/>
      <c r="V29" s="230">
        <f t="shared" si="48"/>
        <v>41919</v>
      </c>
      <c r="W29" s="231">
        <f t="shared" si="49"/>
        <v>56766000</v>
      </c>
      <c r="X29" s="231">
        <f t="shared" si="52"/>
        <v>26169000</v>
      </c>
      <c r="Z29" s="72"/>
      <c r="AB29" s="256"/>
      <c r="BF29" s="227"/>
      <c r="BG29" s="227"/>
    </row>
    <row r="30" spans="1:120" x14ac:dyDescent="0.2">
      <c r="A30" s="80"/>
      <c r="B30" s="249"/>
      <c r="C30" s="249"/>
      <c r="D30" s="249"/>
      <c r="E30" s="257"/>
      <c r="F30" s="257"/>
      <c r="G30" s="257"/>
      <c r="H30" s="257"/>
      <c r="I30" s="257"/>
      <c r="J30" s="257"/>
      <c r="K30" s="257"/>
      <c r="L30" s="257"/>
      <c r="M30" s="257"/>
      <c r="N30" s="249"/>
      <c r="P30" s="249"/>
      <c r="Q30" s="228">
        <f t="shared" si="47"/>
        <v>4.1457995777483188</v>
      </c>
      <c r="V30" s="230">
        <f t="shared" si="48"/>
        <v>41950</v>
      </c>
      <c r="W30" s="231">
        <f t="shared" si="49"/>
        <v>41778000</v>
      </c>
      <c r="X30" s="231">
        <f t="shared" si="52"/>
        <v>23959500</v>
      </c>
      <c r="Z30" s="61"/>
      <c r="AA30" s="61"/>
      <c r="AB30" s="258"/>
      <c r="AC30" s="258"/>
      <c r="BF30" s="227"/>
      <c r="BG30" s="227"/>
    </row>
    <row r="31" spans="1:120" x14ac:dyDescent="0.2">
      <c r="A31" s="80" t="s">
        <v>5</v>
      </c>
      <c r="B31" s="70">
        <f t="shared" ref="B31:M31" si="55">+B23/B24</f>
        <v>0.47898409230106576</v>
      </c>
      <c r="C31" s="70">
        <f t="shared" si="55"/>
        <v>0.44741539546080067</v>
      </c>
      <c r="D31" s="70">
        <f t="shared" si="55"/>
        <v>0.40654558401818558</v>
      </c>
      <c r="E31" s="70">
        <f t="shared" si="55"/>
        <v>0.53796919381022967</v>
      </c>
      <c r="F31" s="70">
        <f t="shared" si="55"/>
        <v>0.59891342487778465</v>
      </c>
      <c r="G31" s="70">
        <f t="shared" si="55"/>
        <v>0.56153307064422187</v>
      </c>
      <c r="H31" s="70">
        <f t="shared" si="55"/>
        <v>0.53042675704347109</v>
      </c>
      <c r="I31" s="70">
        <f t="shared" si="55"/>
        <v>0.5448402375802146</v>
      </c>
      <c r="J31" s="70">
        <f t="shared" si="55"/>
        <v>0.50369400462152714</v>
      </c>
      <c r="K31" s="70">
        <f t="shared" si="55"/>
        <v>0.45098151997439945</v>
      </c>
      <c r="L31" s="70">
        <f t="shared" si="55"/>
        <v>0.40190623111464957</v>
      </c>
      <c r="M31" s="70">
        <f t="shared" si="55"/>
        <v>0.3750695777319471</v>
      </c>
      <c r="N31" s="249"/>
      <c r="P31" s="249"/>
      <c r="Q31" s="228">
        <f t="shared" si="47"/>
        <v>4.2102420582314526</v>
      </c>
      <c r="V31" s="230">
        <f t="shared" si="48"/>
        <v>41981</v>
      </c>
      <c r="W31" s="231">
        <f t="shared" si="49"/>
        <v>31151250</v>
      </c>
      <c r="X31" s="231">
        <f t="shared" si="52"/>
        <v>9201000</v>
      </c>
      <c r="Z31" s="258"/>
      <c r="AA31" s="258"/>
      <c r="AB31" s="258"/>
      <c r="BF31" s="227"/>
      <c r="BG31" s="227"/>
    </row>
    <row r="32" spans="1:120" x14ac:dyDescent="0.2">
      <c r="A32" s="80" t="s">
        <v>30</v>
      </c>
      <c r="B32" s="71">
        <f t="shared" ref="B32:M32" si="56">+B22/B24</f>
        <v>0.52101590769893424</v>
      </c>
      <c r="C32" s="71">
        <f t="shared" si="56"/>
        <v>0.55258460453919933</v>
      </c>
      <c r="D32" s="71">
        <f t="shared" si="56"/>
        <v>0.59345441598181436</v>
      </c>
      <c r="E32" s="71">
        <f t="shared" si="56"/>
        <v>0.46203080618977027</v>
      </c>
      <c r="F32" s="71">
        <f t="shared" si="56"/>
        <v>0.40108657512221529</v>
      </c>
      <c r="G32" s="71">
        <f t="shared" si="56"/>
        <v>0.43846692935577819</v>
      </c>
      <c r="H32" s="71">
        <f t="shared" si="56"/>
        <v>0.46957324295652902</v>
      </c>
      <c r="I32" s="71">
        <f t="shared" si="56"/>
        <v>0.45515976241978534</v>
      </c>
      <c r="J32" s="71">
        <f t="shared" si="56"/>
        <v>0.49630599537847281</v>
      </c>
      <c r="K32" s="71">
        <f t="shared" si="56"/>
        <v>0.54901848002560061</v>
      </c>
      <c r="L32" s="71">
        <f t="shared" si="56"/>
        <v>0.59809376888535037</v>
      </c>
      <c r="M32" s="71">
        <f t="shared" si="56"/>
        <v>0.62493042226805284</v>
      </c>
      <c r="N32" s="249"/>
      <c r="P32" s="249"/>
      <c r="Q32" s="228">
        <f t="shared" si="47"/>
        <v>49.866205135758825</v>
      </c>
      <c r="V32" s="230"/>
      <c r="AA32" s="64"/>
      <c r="AB32" s="258"/>
      <c r="AC32" s="258"/>
      <c r="BF32" s="227"/>
      <c r="BG32" s="227"/>
    </row>
    <row r="33" spans="1:59" s="83" customFormat="1" x14ac:dyDescent="0.2">
      <c r="A33" s="79" t="s">
        <v>85</v>
      </c>
      <c r="B33" s="68">
        <f t="shared" ref="B33:N33" si="57">+(B25-B29)/B29</f>
        <v>0.1783454481477017</v>
      </c>
      <c r="C33" s="59">
        <f t="shared" si="57"/>
        <v>-3.8397819369410058E-2</v>
      </c>
      <c r="D33" s="59">
        <f t="shared" si="57"/>
        <v>1.4668524876214387E-3</v>
      </c>
      <c r="E33" s="59">
        <f t="shared" si="57"/>
        <v>4.9193061006992125E-2</v>
      </c>
      <c r="F33" s="59">
        <f t="shared" si="57"/>
        <v>0.11124724933827893</v>
      </c>
      <c r="G33" s="59">
        <f t="shared" si="57"/>
        <v>5.2518462145555118E-2</v>
      </c>
      <c r="H33" s="59">
        <f t="shared" si="57"/>
        <v>-5.3029580803369197E-2</v>
      </c>
      <c r="I33" s="59">
        <f t="shared" si="57"/>
        <v>-0.16311084638127479</v>
      </c>
      <c r="J33" s="59">
        <f t="shared" si="57"/>
        <v>-0.16417462224431673</v>
      </c>
      <c r="K33" s="59">
        <f t="shared" si="57"/>
        <v>-5.7896441757170521E-2</v>
      </c>
      <c r="L33" s="59">
        <f t="shared" si="57"/>
        <v>-8.8602536315748923E-2</v>
      </c>
      <c r="M33" s="59">
        <f t="shared" si="57"/>
        <v>-0.177842735006185</v>
      </c>
      <c r="N33" s="59">
        <f t="shared" si="57"/>
        <v>-3.5677370604216024E-2</v>
      </c>
      <c r="O33" s="229"/>
      <c r="P33" s="80"/>
      <c r="Q33" s="80"/>
      <c r="R33" s="80"/>
      <c r="S33" s="80"/>
      <c r="T33" s="246"/>
      <c r="U33" s="82"/>
      <c r="V33" s="61"/>
      <c r="W33" s="61"/>
      <c r="X33" s="61"/>
      <c r="Y33" s="61"/>
      <c r="Z33" s="61"/>
      <c r="AA33" s="61"/>
      <c r="AC33" s="233"/>
      <c r="AF33" s="84"/>
      <c r="AG33" s="85"/>
      <c r="AH33" s="85"/>
      <c r="AI33" s="85"/>
      <c r="AJ33" s="85"/>
      <c r="AK33" s="85"/>
      <c r="AL33" s="85"/>
      <c r="AM33" s="85"/>
      <c r="AN33" s="85"/>
      <c r="AO33" s="85"/>
      <c r="AP33" s="85"/>
      <c r="AQ33" s="85"/>
      <c r="AR33" s="85"/>
      <c r="AS33" s="85"/>
      <c r="AT33" s="85"/>
      <c r="AU33" s="85"/>
      <c r="AV33" s="85"/>
      <c r="AW33" s="85"/>
      <c r="AX33" s="85"/>
      <c r="AY33" s="85"/>
      <c r="BF33" s="227" t="e">
        <f>+#REF!/0.325872</f>
        <v>#REF!</v>
      </c>
      <c r="BG33" s="227"/>
    </row>
    <row r="34" spans="1:59" s="83" customFormat="1" x14ac:dyDescent="0.2">
      <c r="A34" s="79"/>
      <c r="B34" s="80"/>
      <c r="C34" s="80"/>
      <c r="D34" s="80"/>
      <c r="E34" s="80"/>
      <c r="F34" s="80"/>
      <c r="G34" s="80"/>
      <c r="H34" s="80"/>
      <c r="I34" s="80"/>
      <c r="J34" s="80"/>
      <c r="K34" s="80"/>
      <c r="L34" s="80"/>
      <c r="M34" s="80"/>
      <c r="N34" s="80"/>
      <c r="O34" s="67"/>
      <c r="P34" s="80"/>
      <c r="Q34" s="80"/>
      <c r="R34" s="80"/>
      <c r="S34" s="227"/>
      <c r="T34" s="80"/>
      <c r="U34" s="82"/>
      <c r="V34" s="65"/>
      <c r="W34" s="65"/>
      <c r="X34" s="65"/>
      <c r="Y34" s="65"/>
      <c r="Z34" s="65"/>
      <c r="AC34" s="231"/>
      <c r="AD34" s="64"/>
      <c r="AF34" s="84"/>
      <c r="AG34" s="85"/>
      <c r="AH34" s="85"/>
      <c r="AI34" s="85"/>
      <c r="AJ34" s="85"/>
      <c r="AK34" s="85"/>
      <c r="AL34" s="85"/>
      <c r="AM34" s="85"/>
      <c r="AN34" s="85"/>
      <c r="AO34" s="85"/>
      <c r="AP34" s="85"/>
      <c r="AQ34" s="85"/>
      <c r="AR34" s="85"/>
      <c r="AS34" s="85"/>
      <c r="AT34" s="85"/>
      <c r="AU34" s="85"/>
      <c r="AV34" s="85"/>
      <c r="AW34" s="85"/>
      <c r="AX34" s="85"/>
      <c r="AY34" s="85"/>
      <c r="BF34" s="227"/>
      <c r="BG34" s="227"/>
    </row>
    <row r="35" spans="1:59" s="83" customFormat="1" x14ac:dyDescent="0.2">
      <c r="A35" s="79"/>
      <c r="B35" s="80"/>
      <c r="C35" s="81"/>
      <c r="D35" s="81"/>
      <c r="E35" s="81"/>
      <c r="F35" s="81"/>
      <c r="G35" s="81"/>
      <c r="H35" s="81"/>
      <c r="I35" s="80"/>
      <c r="J35" s="60">
        <f>+J22/J24</f>
        <v>0.49630599537847281</v>
      </c>
      <c r="K35" s="80"/>
      <c r="L35" s="80"/>
      <c r="M35" s="80"/>
      <c r="N35" s="80"/>
      <c r="O35" s="80"/>
      <c r="P35" s="80"/>
      <c r="Q35" s="80"/>
      <c r="R35" s="80"/>
      <c r="S35" s="227"/>
      <c r="T35" s="80"/>
      <c r="U35" s="82"/>
      <c r="AF35" s="84"/>
      <c r="AG35" s="85"/>
      <c r="AH35" s="85"/>
      <c r="AI35" s="85"/>
      <c r="AJ35" s="85"/>
      <c r="AK35" s="85"/>
      <c r="AL35" s="85"/>
      <c r="AM35" s="85"/>
      <c r="AN35" s="85"/>
      <c r="AO35" s="85"/>
      <c r="AP35" s="85"/>
      <c r="AQ35" s="85"/>
      <c r="AR35" s="85"/>
      <c r="AS35" s="85"/>
      <c r="AT35" s="85"/>
      <c r="AU35" s="85"/>
      <c r="AV35" s="85"/>
      <c r="AW35" s="85"/>
      <c r="AX35" s="85"/>
      <c r="AY35" s="85"/>
    </row>
    <row r="36" spans="1:59" s="83" customFormat="1" x14ac:dyDescent="0.2">
      <c r="A36" s="79"/>
      <c r="B36" s="60">
        <f>+B22/B24</f>
        <v>0.52101590769893424</v>
      </c>
      <c r="C36" s="60">
        <f>+C22/C24</f>
        <v>0.55258460453919933</v>
      </c>
      <c r="D36" s="259">
        <f>+AVERAGE(B36:C36)</f>
        <v>0.53680025611906679</v>
      </c>
      <c r="E36" s="81"/>
      <c r="F36" s="81"/>
      <c r="G36" s="81"/>
      <c r="H36" s="81"/>
      <c r="I36" s="80"/>
      <c r="J36" s="60">
        <f>+J23/J24</f>
        <v>0.50369400462152714</v>
      </c>
      <c r="K36" s="80"/>
      <c r="L36" s="80"/>
      <c r="M36" s="80"/>
      <c r="N36" s="80"/>
      <c r="O36" s="80"/>
      <c r="P36" s="80"/>
      <c r="Q36" s="80"/>
      <c r="R36" s="80"/>
      <c r="S36" s="80"/>
      <c r="T36" s="80"/>
      <c r="U36" s="82"/>
      <c r="Z36" s="250"/>
      <c r="AF36" s="84"/>
      <c r="AG36" s="85"/>
      <c r="AH36" s="85"/>
      <c r="AI36" s="85"/>
      <c r="AJ36" s="85"/>
      <c r="AK36" s="85"/>
      <c r="AL36" s="85"/>
      <c r="AM36" s="85"/>
      <c r="AN36" s="85"/>
      <c r="AO36" s="85"/>
      <c r="AP36" s="85"/>
      <c r="AQ36" s="85"/>
      <c r="AR36" s="85"/>
      <c r="AS36" s="85"/>
      <c r="AT36" s="85"/>
      <c r="AU36" s="85"/>
      <c r="AV36" s="85"/>
      <c r="AW36" s="85"/>
      <c r="AX36" s="85"/>
      <c r="AY36" s="85"/>
    </row>
    <row r="37" spans="1:59" s="83" customFormat="1" x14ac:dyDescent="0.2">
      <c r="A37" s="79"/>
      <c r="B37" s="60">
        <f>1-B36</f>
        <v>0.47898409230106576</v>
      </c>
      <c r="C37" s="60">
        <f>1-C36</f>
        <v>0.44741539546080067</v>
      </c>
      <c r="D37" s="259">
        <f>+AVERAGE(B37:C37)</f>
        <v>0.46319974388093321</v>
      </c>
      <c r="E37" s="81"/>
      <c r="F37" s="81"/>
      <c r="G37" s="81"/>
      <c r="H37" s="81"/>
      <c r="I37" s="80"/>
      <c r="J37" s="80"/>
      <c r="K37" s="80"/>
      <c r="L37" s="80"/>
      <c r="M37" s="80"/>
      <c r="N37" s="80"/>
      <c r="O37" s="80">
        <v>174</v>
      </c>
      <c r="P37" s="80"/>
      <c r="Q37" s="80"/>
      <c r="R37" s="80"/>
      <c r="S37" s="80"/>
      <c r="T37" s="80"/>
      <c r="U37" s="82"/>
      <c r="AF37" s="84"/>
      <c r="AG37" s="85"/>
      <c r="AH37" s="85"/>
      <c r="AI37" s="85"/>
      <c r="AJ37" s="85"/>
      <c r="AK37" s="85"/>
      <c r="AL37" s="85"/>
      <c r="AM37" s="85"/>
      <c r="AN37" s="85"/>
      <c r="AO37" s="85"/>
      <c r="AP37" s="85"/>
      <c r="AQ37" s="85"/>
      <c r="AR37" s="85"/>
      <c r="AS37" s="85"/>
      <c r="AT37" s="85"/>
      <c r="AU37" s="85"/>
      <c r="AV37" s="85"/>
      <c r="AW37" s="85"/>
      <c r="AX37" s="85"/>
      <c r="AY37" s="85"/>
    </row>
    <row r="38" spans="1:59" s="83" customFormat="1" x14ac:dyDescent="0.2">
      <c r="A38" s="79"/>
      <c r="B38" s="80"/>
      <c r="C38" s="81"/>
      <c r="D38" s="81"/>
      <c r="E38" s="81"/>
      <c r="F38" s="81"/>
      <c r="G38" s="81"/>
      <c r="H38" s="81"/>
      <c r="I38" s="80"/>
      <c r="J38" s="80"/>
      <c r="K38" s="80"/>
      <c r="L38" s="80"/>
      <c r="M38" s="80"/>
      <c r="N38" s="80"/>
      <c r="O38" s="60">
        <f>+O37/N22</f>
        <v>7.8030807184406928E-2</v>
      </c>
      <c r="P38" s="80"/>
      <c r="Q38" s="80"/>
      <c r="R38" s="80"/>
      <c r="S38" s="80"/>
      <c r="T38" s="80"/>
      <c r="U38" s="82"/>
      <c r="AF38" s="84"/>
      <c r="AG38" s="85"/>
      <c r="AH38" s="85"/>
      <c r="AI38" s="85"/>
      <c r="AJ38" s="85"/>
      <c r="AK38" s="85"/>
      <c r="AL38" s="85"/>
      <c r="AM38" s="85"/>
      <c r="AN38" s="85"/>
      <c r="AO38" s="85"/>
      <c r="AP38" s="85"/>
      <c r="AQ38" s="85"/>
      <c r="AR38" s="85"/>
      <c r="AS38" s="85"/>
      <c r="AT38" s="85"/>
      <c r="AU38" s="85"/>
      <c r="AV38" s="85"/>
      <c r="AW38" s="85"/>
      <c r="AX38" s="85"/>
      <c r="AY38" s="85"/>
    </row>
    <row r="39" spans="1:59" s="83" customFormat="1" x14ac:dyDescent="0.2">
      <c r="A39" s="79"/>
      <c r="B39" s="260">
        <v>41640</v>
      </c>
      <c r="C39" s="261">
        <v>41671</v>
      </c>
      <c r="D39" s="261">
        <v>41702</v>
      </c>
      <c r="E39" s="261">
        <v>41733</v>
      </c>
      <c r="F39" s="261">
        <v>41764</v>
      </c>
      <c r="G39" s="261">
        <v>41795</v>
      </c>
      <c r="H39" s="261">
        <v>41826</v>
      </c>
      <c r="I39" s="260">
        <v>41857</v>
      </c>
      <c r="J39" s="260">
        <v>41888</v>
      </c>
      <c r="K39" s="260">
        <v>41919</v>
      </c>
      <c r="L39" s="260">
        <v>41950</v>
      </c>
      <c r="M39" s="260">
        <v>41981</v>
      </c>
      <c r="N39" s="80"/>
      <c r="O39" s="80"/>
      <c r="P39" s="80"/>
      <c r="Q39" s="82">
        <v>2028.9580632886532</v>
      </c>
      <c r="R39" s="80"/>
      <c r="S39" s="80"/>
      <c r="T39" s="80"/>
      <c r="U39" s="82"/>
      <c r="AF39" s="84"/>
      <c r="AG39" s="85"/>
      <c r="AH39" s="85"/>
      <c r="AI39" s="85"/>
      <c r="AJ39" s="85"/>
      <c r="AK39" s="85"/>
      <c r="AL39" s="85"/>
      <c r="AM39" s="85"/>
      <c r="AN39" s="85"/>
      <c r="AO39" s="85"/>
      <c r="AP39" s="85"/>
      <c r="AQ39" s="85"/>
      <c r="AR39" s="85"/>
      <c r="AS39" s="85"/>
      <c r="AT39" s="85"/>
      <c r="AU39" s="85"/>
      <c r="AV39" s="85"/>
      <c r="AW39" s="85"/>
      <c r="AX39" s="85"/>
      <c r="AY39" s="85"/>
    </row>
    <row r="40" spans="1:59" s="83" customFormat="1" x14ac:dyDescent="0.2">
      <c r="A40" s="79"/>
      <c r="B40" s="262">
        <v>197.52817057003978</v>
      </c>
      <c r="C40" s="262">
        <v>160.23745519713262</v>
      </c>
      <c r="D40" s="262">
        <v>188.23980581332549</v>
      </c>
      <c r="E40" s="262">
        <v>159.90244022192763</v>
      </c>
      <c r="F40" s="262">
        <v>166.68728826042127</v>
      </c>
      <c r="G40" s="262">
        <v>182.02238915893358</v>
      </c>
      <c r="H40" s="262">
        <v>194.95361675749987</v>
      </c>
      <c r="I40" s="262">
        <v>179.56590317670742</v>
      </c>
      <c r="J40" s="262">
        <v>194.10845976334267</v>
      </c>
      <c r="K40" s="262">
        <v>207.11046054892719</v>
      </c>
      <c r="L40" s="262">
        <v>185.86745716109394</v>
      </c>
      <c r="M40" s="262">
        <v>0</v>
      </c>
      <c r="N40" s="80"/>
      <c r="O40" s="80"/>
      <c r="P40" s="80"/>
      <c r="Q40" s="82">
        <f>3294-Q39</f>
        <v>1265.0419367113468</v>
      </c>
      <c r="R40" s="80"/>
      <c r="S40" s="80"/>
      <c r="T40" s="80"/>
      <c r="U40" s="82"/>
      <c r="AF40" s="84"/>
      <c r="AG40" s="85"/>
      <c r="AH40" s="85"/>
      <c r="AI40" s="85"/>
      <c r="AJ40" s="85"/>
      <c r="AK40" s="85"/>
      <c r="AL40" s="85"/>
      <c r="AM40" s="85"/>
      <c r="AN40" s="85"/>
      <c r="AO40" s="85"/>
      <c r="AP40" s="85"/>
      <c r="AQ40" s="85"/>
      <c r="AR40" s="85"/>
      <c r="AS40" s="85"/>
      <c r="AT40" s="85"/>
      <c r="AU40" s="85"/>
      <c r="AV40" s="85"/>
      <c r="AW40" s="85"/>
      <c r="AX40" s="85"/>
      <c r="AY40" s="85"/>
    </row>
    <row r="41" spans="1:59" s="83" customFormat="1" x14ac:dyDescent="0.2">
      <c r="A41" s="79"/>
      <c r="B41" s="262">
        <v>5.0709481023223839</v>
      </c>
      <c r="C41" s="262">
        <v>4.4861786222811411</v>
      </c>
      <c r="D41" s="262">
        <v>4.9157951588353708</v>
      </c>
      <c r="E41" s="262">
        <v>4.9157951588353708</v>
      </c>
      <c r="F41" s="262">
        <v>4.9096577797417389</v>
      </c>
      <c r="G41" s="262">
        <v>4.882898806893504</v>
      </c>
      <c r="H41" s="262">
        <v>5.1487700692296361</v>
      </c>
      <c r="I41" s="262">
        <v>5.1794569646977955</v>
      </c>
      <c r="J41" s="262">
        <v>5.0076103500761038</v>
      </c>
      <c r="K41" s="262">
        <v>4.9547675160799329</v>
      </c>
      <c r="L41" s="262">
        <v>4.9179432415181417</v>
      </c>
      <c r="M41" s="262">
        <v>0</v>
      </c>
      <c r="N41" s="80"/>
      <c r="O41" s="80"/>
      <c r="P41" s="80"/>
      <c r="Q41" s="80"/>
      <c r="R41" s="80"/>
      <c r="S41" s="80"/>
      <c r="T41" s="80"/>
      <c r="U41" s="82"/>
      <c r="AF41" s="84"/>
      <c r="AG41" s="85"/>
      <c r="AH41" s="85"/>
      <c r="AI41" s="85"/>
      <c r="AJ41" s="85"/>
      <c r="AK41" s="85"/>
      <c r="AL41" s="85"/>
      <c r="AM41" s="85"/>
      <c r="AN41" s="85"/>
      <c r="AO41" s="85"/>
      <c r="AP41" s="85"/>
      <c r="AQ41" s="85"/>
      <c r="AR41" s="85"/>
      <c r="AS41" s="85"/>
      <c r="AT41" s="85"/>
      <c r="AU41" s="85"/>
      <c r="AV41" s="85"/>
      <c r="AW41" s="85"/>
      <c r="AX41" s="85"/>
      <c r="AY41" s="85"/>
    </row>
    <row r="42" spans="1:59" s="83" customFormat="1" x14ac:dyDescent="0.2">
      <c r="A42" s="263"/>
      <c r="B42" s="262">
        <v>325872</v>
      </c>
      <c r="C42" s="262"/>
      <c r="D42" s="262"/>
      <c r="E42" s="262"/>
      <c r="F42" s="262"/>
      <c r="G42" s="262"/>
      <c r="H42" s="262"/>
      <c r="I42" s="262"/>
      <c r="J42" s="262"/>
      <c r="K42" s="262"/>
      <c r="L42" s="262"/>
      <c r="M42" s="262"/>
      <c r="N42" s="81"/>
      <c r="O42" s="80"/>
      <c r="P42" s="80"/>
      <c r="Q42" s="80"/>
      <c r="R42" s="80"/>
      <c r="S42" s="80"/>
      <c r="T42" s="80"/>
      <c r="U42" s="82"/>
      <c r="AF42" s="84"/>
      <c r="AG42" s="85"/>
      <c r="AH42" s="85"/>
      <c r="AI42" s="85"/>
      <c r="AJ42" s="85"/>
      <c r="AK42" s="85"/>
      <c r="AL42" s="85"/>
      <c r="AM42" s="85"/>
      <c r="AN42" s="85"/>
      <c r="AO42" s="85"/>
      <c r="AP42" s="85"/>
      <c r="AQ42" s="85"/>
      <c r="AR42" s="85"/>
      <c r="AS42" s="85"/>
      <c r="AT42" s="85"/>
      <c r="AU42" s="85"/>
      <c r="AV42" s="85"/>
      <c r="AW42" s="85"/>
      <c r="AX42" s="85"/>
      <c r="AY42" s="85"/>
    </row>
    <row r="43" spans="1:59" s="83" customFormat="1" x14ac:dyDescent="0.2">
      <c r="A43" s="263"/>
      <c r="B43" s="81"/>
      <c r="C43" s="81"/>
      <c r="D43" s="81"/>
      <c r="E43" s="81"/>
      <c r="F43" s="81"/>
      <c r="G43" s="81"/>
      <c r="H43" s="81"/>
      <c r="I43" s="81"/>
      <c r="J43" s="81"/>
      <c r="K43" s="81"/>
      <c r="L43" s="81"/>
      <c r="M43" s="81"/>
      <c r="N43" s="81"/>
      <c r="O43" s="111"/>
      <c r="P43" s="80"/>
      <c r="Q43" s="80"/>
      <c r="R43" s="80"/>
      <c r="S43" s="80"/>
      <c r="T43" s="80"/>
      <c r="U43" s="82"/>
      <c r="AF43" s="84"/>
      <c r="AG43" s="85"/>
      <c r="AH43" s="85"/>
      <c r="AI43" s="85"/>
      <c r="AJ43" s="85"/>
      <c r="AK43" s="85"/>
      <c r="AL43" s="85"/>
      <c r="AM43" s="85"/>
      <c r="AN43" s="85"/>
      <c r="AO43" s="85"/>
      <c r="AP43" s="85"/>
      <c r="AQ43" s="85"/>
      <c r="AR43" s="85"/>
      <c r="AS43" s="85"/>
      <c r="AT43" s="85"/>
      <c r="AU43" s="85"/>
      <c r="AV43" s="85"/>
      <c r="AW43" s="85"/>
      <c r="AX43" s="85"/>
      <c r="AY43" s="85"/>
    </row>
    <row r="44" spans="1:59" s="83" customFormat="1" x14ac:dyDescent="0.2">
      <c r="A44" s="263"/>
      <c r="B44" s="264"/>
      <c r="C44" s="264"/>
      <c r="D44" s="264"/>
      <c r="E44" s="264"/>
      <c r="F44" s="264"/>
      <c r="G44" s="264"/>
      <c r="H44" s="264"/>
      <c r="I44" s="264"/>
      <c r="J44" s="264"/>
      <c r="K44" s="264"/>
      <c r="L44" s="264"/>
      <c r="M44" s="264"/>
      <c r="N44" s="264"/>
      <c r="O44" s="265"/>
      <c r="P44" s="80"/>
      <c r="Q44" s="80"/>
      <c r="R44" s="80"/>
      <c r="S44" s="80"/>
      <c r="T44" s="80"/>
      <c r="U44" s="82"/>
      <c r="AF44" s="84"/>
      <c r="AG44" s="85"/>
      <c r="AH44" s="85"/>
      <c r="AI44" s="85"/>
      <c r="AJ44" s="85"/>
      <c r="AK44" s="85"/>
      <c r="AL44" s="85"/>
      <c r="AM44" s="85"/>
      <c r="AN44" s="85"/>
      <c r="AO44" s="85"/>
      <c r="AP44" s="85"/>
      <c r="AQ44" s="85"/>
      <c r="AR44" s="85"/>
      <c r="AS44" s="85"/>
      <c r="AT44" s="85"/>
      <c r="AU44" s="85"/>
      <c r="AV44" s="85"/>
      <c r="AW44" s="85"/>
      <c r="AX44" s="85"/>
      <c r="AY44" s="85"/>
    </row>
    <row r="45" spans="1:59" s="83" customFormat="1" x14ac:dyDescent="0.2">
      <c r="A45" s="263"/>
      <c r="B45" s="264"/>
      <c r="C45" s="264"/>
      <c r="D45" s="264"/>
      <c r="E45" s="264"/>
      <c r="F45" s="264"/>
      <c r="G45" s="264"/>
      <c r="H45" s="264"/>
      <c r="I45" s="264"/>
      <c r="J45" s="264"/>
      <c r="K45" s="264"/>
      <c r="L45" s="264"/>
      <c r="M45" s="264"/>
      <c r="N45" s="264"/>
      <c r="O45" s="265"/>
      <c r="P45" s="80"/>
      <c r="Q45" s="80"/>
      <c r="R45" s="80"/>
      <c r="S45" s="80"/>
      <c r="T45" s="80"/>
      <c r="U45" s="82"/>
      <c r="AF45" s="84"/>
      <c r="AG45" s="85"/>
      <c r="AH45" s="85"/>
      <c r="AI45" s="85"/>
      <c r="AJ45" s="85"/>
      <c r="AK45" s="85"/>
      <c r="AL45" s="85"/>
      <c r="AM45" s="85"/>
      <c r="AN45" s="85"/>
      <c r="AO45" s="85"/>
      <c r="AP45" s="85"/>
      <c r="AQ45" s="85"/>
      <c r="AR45" s="85"/>
      <c r="AS45" s="85"/>
      <c r="AT45" s="85"/>
      <c r="AU45" s="85"/>
      <c r="AV45" s="85"/>
      <c r="AW45" s="85"/>
      <c r="AX45" s="85"/>
      <c r="AY45" s="85"/>
    </row>
    <row r="46" spans="1:59" s="83" customFormat="1" x14ac:dyDescent="0.2">
      <c r="A46" s="263"/>
      <c r="B46" s="264"/>
      <c r="C46" s="264"/>
      <c r="D46" s="264"/>
      <c r="E46" s="264"/>
      <c r="F46" s="264"/>
      <c r="G46" s="264"/>
      <c r="H46" s="264"/>
      <c r="I46" s="264"/>
      <c r="J46" s="264"/>
      <c r="K46" s="264"/>
      <c r="L46" s="264"/>
      <c r="M46" s="264"/>
      <c r="N46" s="264"/>
      <c r="O46" s="265"/>
      <c r="P46" s="80"/>
      <c r="Q46" s="80"/>
      <c r="R46" s="80"/>
      <c r="S46" s="80"/>
      <c r="T46" s="80"/>
      <c r="U46" s="82"/>
      <c r="AF46" s="84"/>
      <c r="AG46" s="85"/>
      <c r="AH46" s="85"/>
      <c r="AI46" s="85"/>
      <c r="AJ46" s="85"/>
      <c r="AK46" s="85"/>
      <c r="AL46" s="85"/>
      <c r="AM46" s="85"/>
      <c r="AN46" s="85"/>
      <c r="AO46" s="85"/>
      <c r="AP46" s="85"/>
      <c r="AQ46" s="85"/>
      <c r="AR46" s="85"/>
      <c r="AS46" s="85"/>
      <c r="AT46" s="85"/>
      <c r="AU46" s="85"/>
      <c r="AV46" s="85"/>
      <c r="AW46" s="85"/>
      <c r="AX46" s="85"/>
      <c r="AY46" s="85"/>
    </row>
    <row r="47" spans="1:59" s="83" customFormat="1" x14ac:dyDescent="0.2">
      <c r="A47" s="263"/>
      <c r="B47" s="264"/>
      <c r="C47" s="264"/>
      <c r="D47" s="264"/>
      <c r="E47" s="264"/>
      <c r="F47" s="264"/>
      <c r="G47" s="264"/>
      <c r="H47" s="264"/>
      <c r="I47" s="264"/>
      <c r="J47" s="264"/>
      <c r="K47" s="264"/>
      <c r="L47" s="264"/>
      <c r="M47" s="264"/>
      <c r="N47" s="264"/>
      <c r="O47" s="265"/>
      <c r="P47" s="80"/>
      <c r="Q47" s="80"/>
      <c r="R47" s="80"/>
      <c r="S47" s="80"/>
      <c r="T47" s="80"/>
      <c r="U47" s="82"/>
      <c r="AF47" s="84"/>
      <c r="AG47" s="85"/>
      <c r="AH47" s="85"/>
      <c r="AI47" s="85"/>
      <c r="AJ47" s="85"/>
      <c r="AK47" s="85"/>
      <c r="AL47" s="85"/>
      <c r="AM47" s="85"/>
      <c r="AN47" s="85"/>
      <c r="AO47" s="85"/>
      <c r="AP47" s="85"/>
      <c r="AQ47" s="85"/>
      <c r="AR47" s="85"/>
      <c r="AS47" s="85"/>
      <c r="AT47" s="85"/>
      <c r="AU47" s="85"/>
      <c r="AV47" s="85"/>
      <c r="AW47" s="85"/>
      <c r="AX47" s="85"/>
      <c r="AY47" s="85"/>
    </row>
    <row r="48" spans="1:59" s="83" customFormat="1" x14ac:dyDescent="0.2">
      <c r="A48" s="263"/>
      <c r="B48" s="264"/>
      <c r="C48" s="264"/>
      <c r="D48" s="264"/>
      <c r="E48" s="264"/>
      <c r="F48" s="264"/>
      <c r="G48" s="264"/>
      <c r="H48" s="264"/>
      <c r="I48" s="264"/>
      <c r="J48" s="264"/>
      <c r="K48" s="264"/>
      <c r="L48" s="264"/>
      <c r="M48" s="264"/>
      <c r="N48" s="264"/>
      <c r="O48" s="265"/>
      <c r="P48" s="80"/>
      <c r="Q48" s="80"/>
      <c r="R48" s="80"/>
      <c r="S48" s="80"/>
      <c r="T48" s="80"/>
      <c r="U48" s="82"/>
      <c r="AF48" s="84"/>
      <c r="AG48" s="85"/>
      <c r="AH48" s="85"/>
      <c r="AI48" s="85"/>
      <c r="AJ48" s="85"/>
      <c r="AK48" s="85"/>
      <c r="AL48" s="85"/>
      <c r="AM48" s="85"/>
      <c r="AN48" s="85"/>
      <c r="AO48" s="85"/>
      <c r="AP48" s="85"/>
      <c r="AQ48" s="85"/>
      <c r="AR48" s="85"/>
      <c r="AS48" s="85"/>
      <c r="AT48" s="85"/>
      <c r="AU48" s="85"/>
      <c r="AV48" s="85"/>
      <c r="AW48" s="85"/>
      <c r="AX48" s="85"/>
      <c r="AY48" s="85"/>
    </row>
    <row r="49" spans="1:78" x14ac:dyDescent="0.2">
      <c r="A49" s="263"/>
      <c r="B49" s="264"/>
      <c r="C49" s="264"/>
      <c r="D49" s="264"/>
      <c r="E49" s="264"/>
      <c r="F49" s="264"/>
      <c r="G49" s="264"/>
      <c r="H49" s="264"/>
      <c r="I49" s="264"/>
      <c r="J49" s="264"/>
      <c r="K49" s="264"/>
      <c r="L49" s="264"/>
      <c r="M49" s="264"/>
      <c r="N49" s="264"/>
      <c r="O49" s="265"/>
    </row>
    <row r="50" spans="1:78" x14ac:dyDescent="0.2">
      <c r="A50" s="263"/>
      <c r="B50" s="264"/>
      <c r="C50" s="264"/>
      <c r="D50" s="264"/>
      <c r="E50" s="264"/>
      <c r="F50" s="264"/>
      <c r="G50" s="264"/>
      <c r="H50" s="264"/>
      <c r="I50" s="264"/>
      <c r="J50" s="264"/>
      <c r="K50" s="264"/>
      <c r="L50" s="264"/>
      <c r="M50" s="264"/>
      <c r="N50" s="264"/>
      <c r="O50" s="265"/>
    </row>
    <row r="51" spans="1:78" x14ac:dyDescent="0.2">
      <c r="A51" s="263"/>
      <c r="B51" s="264"/>
      <c r="C51" s="264"/>
      <c r="D51" s="264"/>
      <c r="E51" s="264"/>
      <c r="F51" s="264"/>
      <c r="G51" s="264"/>
      <c r="H51" s="264"/>
      <c r="I51" s="264"/>
      <c r="J51" s="264"/>
      <c r="K51" s="264"/>
      <c r="L51" s="264"/>
      <c r="M51" s="264"/>
      <c r="N51" s="264"/>
      <c r="O51" s="265"/>
    </row>
    <row r="52" spans="1:78" x14ac:dyDescent="0.2">
      <c r="A52" s="263"/>
      <c r="B52" s="264"/>
      <c r="C52" s="264"/>
      <c r="D52" s="264"/>
      <c r="E52" s="264"/>
      <c r="F52" s="264"/>
      <c r="G52" s="264"/>
      <c r="H52" s="264"/>
      <c r="I52" s="264"/>
      <c r="J52" s="264"/>
      <c r="K52" s="264"/>
      <c r="L52" s="264"/>
      <c r="M52" s="264"/>
      <c r="N52" s="264"/>
      <c r="O52" s="265"/>
    </row>
    <row r="53" spans="1:78" x14ac:dyDescent="0.2">
      <c r="A53" s="263"/>
      <c r="B53" s="264"/>
      <c r="C53" s="264"/>
      <c r="D53" s="264"/>
      <c r="E53" s="264"/>
      <c r="F53" s="264"/>
      <c r="G53" s="264"/>
      <c r="H53" s="264"/>
      <c r="I53" s="264"/>
      <c r="J53" s="264"/>
      <c r="K53" s="264"/>
      <c r="L53" s="264"/>
      <c r="M53" s="264"/>
      <c r="N53" s="264"/>
      <c r="O53" s="265"/>
    </row>
    <row r="54" spans="1:78" x14ac:dyDescent="0.2">
      <c r="A54" s="263"/>
      <c r="B54" s="264"/>
      <c r="C54" s="264"/>
      <c r="D54" s="264"/>
      <c r="E54" s="264"/>
      <c r="F54" s="264"/>
      <c r="G54" s="264"/>
      <c r="H54" s="264"/>
      <c r="I54" s="264"/>
      <c r="J54" s="264"/>
      <c r="K54" s="264"/>
      <c r="L54" s="264"/>
      <c r="M54" s="264"/>
      <c r="N54" s="264"/>
      <c r="O54" s="265"/>
    </row>
    <row r="55" spans="1:78" x14ac:dyDescent="0.2">
      <c r="A55" s="263"/>
      <c r="B55" s="266"/>
      <c r="C55" s="266"/>
      <c r="D55" s="266"/>
      <c r="E55" s="266"/>
      <c r="F55" s="266"/>
      <c r="G55" s="266"/>
      <c r="H55" s="266"/>
      <c r="I55" s="266"/>
      <c r="J55" s="266"/>
      <c r="K55" s="266"/>
      <c r="L55" s="266"/>
      <c r="M55" s="266"/>
      <c r="N55" s="266"/>
      <c r="O55" s="265"/>
    </row>
    <row r="56" spans="1:78" s="256" customFormat="1" x14ac:dyDescent="0.2">
      <c r="A56" s="264"/>
      <c r="B56" s="264"/>
      <c r="C56" s="264"/>
      <c r="D56" s="264"/>
      <c r="E56" s="264"/>
      <c r="F56" s="264"/>
      <c r="G56" s="264"/>
      <c r="H56" s="264"/>
      <c r="I56" s="264"/>
      <c r="J56" s="264"/>
      <c r="K56" s="264"/>
      <c r="L56" s="264"/>
      <c r="M56" s="264"/>
      <c r="N56" s="264"/>
      <c r="O56" s="265"/>
      <c r="P56" s="265"/>
      <c r="Q56" s="265"/>
      <c r="R56" s="265"/>
      <c r="S56" s="265"/>
      <c r="T56" s="265"/>
      <c r="U56" s="265"/>
      <c r="AF56" s="267"/>
      <c r="AG56" s="268"/>
      <c r="AH56" s="268"/>
      <c r="AI56" s="268"/>
      <c r="AJ56" s="268"/>
      <c r="AK56" s="268"/>
      <c r="AL56" s="268"/>
      <c r="AM56" s="268"/>
      <c r="AN56" s="268"/>
      <c r="AO56" s="268"/>
      <c r="AP56" s="268"/>
      <c r="AQ56" s="268"/>
      <c r="AR56" s="268"/>
      <c r="AS56" s="268"/>
      <c r="AT56" s="268"/>
      <c r="AU56" s="268"/>
      <c r="AV56" s="268"/>
      <c r="AW56" s="268"/>
      <c r="AX56" s="268"/>
      <c r="AY56" s="268"/>
      <c r="BU56" s="265"/>
      <c r="BV56" s="265"/>
      <c r="BW56" s="265"/>
      <c r="BX56" s="265"/>
      <c r="BY56" s="265"/>
      <c r="BZ56" s="265"/>
    </row>
    <row r="57" spans="1:78" x14ac:dyDescent="0.2">
      <c r="A57" s="263"/>
      <c r="B57" s="269"/>
      <c r="C57" s="269"/>
      <c r="D57" s="269"/>
      <c r="E57" s="269"/>
      <c r="F57" s="269"/>
      <c r="G57" s="269"/>
      <c r="H57" s="269"/>
      <c r="I57" s="269"/>
      <c r="J57" s="269"/>
      <c r="K57" s="269"/>
      <c r="L57" s="269"/>
      <c r="M57" s="269"/>
      <c r="N57" s="269"/>
    </row>
    <row r="58" spans="1:78" x14ac:dyDescent="0.2">
      <c r="A58" s="263"/>
      <c r="B58" s="63"/>
      <c r="C58" s="63"/>
      <c r="D58" s="63"/>
      <c r="E58" s="63"/>
      <c r="F58" s="63"/>
      <c r="G58" s="63"/>
      <c r="H58" s="63"/>
      <c r="I58" s="63"/>
      <c r="J58" s="63"/>
      <c r="K58" s="63"/>
      <c r="L58" s="63"/>
      <c r="M58" s="63"/>
      <c r="N58" s="63"/>
    </row>
    <row r="59" spans="1:78" x14ac:dyDescent="0.2">
      <c r="C59" s="81"/>
      <c r="D59" s="81"/>
      <c r="E59" s="81"/>
      <c r="F59" s="81"/>
      <c r="G59" s="81"/>
      <c r="H59" s="81"/>
    </row>
    <row r="60" spans="1:78" x14ac:dyDescent="0.2">
      <c r="C60" s="81"/>
      <c r="D60" s="81"/>
      <c r="E60" s="81"/>
      <c r="F60" s="81"/>
      <c r="G60" s="81"/>
      <c r="H60" s="81"/>
    </row>
    <row r="61" spans="1:78" x14ac:dyDescent="0.2">
      <c r="C61" s="81"/>
      <c r="D61" s="81"/>
      <c r="E61" s="81"/>
      <c r="F61" s="81"/>
      <c r="G61" s="81"/>
      <c r="H61" s="81"/>
    </row>
    <row r="62" spans="1:78" x14ac:dyDescent="0.2">
      <c r="C62" s="81"/>
      <c r="D62" s="81"/>
      <c r="E62" s="81"/>
      <c r="F62" s="81"/>
      <c r="G62" s="81"/>
      <c r="H62" s="81"/>
    </row>
    <row r="63" spans="1:78" x14ac:dyDescent="0.2">
      <c r="C63" s="81"/>
      <c r="D63" s="81"/>
      <c r="E63" s="81"/>
      <c r="F63" s="81"/>
      <c r="G63" s="81"/>
      <c r="H63" s="81"/>
    </row>
    <row r="64" spans="1:78" x14ac:dyDescent="0.2">
      <c r="C64" s="81"/>
      <c r="D64" s="81"/>
      <c r="E64" s="81"/>
      <c r="F64" s="81"/>
      <c r="G64" s="81"/>
      <c r="H64" s="81"/>
    </row>
    <row r="65" spans="3:8" s="83" customFormat="1" x14ac:dyDescent="0.2">
      <c r="C65" s="81"/>
      <c r="D65" s="81"/>
      <c r="E65" s="81"/>
      <c r="F65" s="81"/>
      <c r="G65" s="81"/>
      <c r="H65" s="81"/>
    </row>
    <row r="66" spans="3:8" s="83" customFormat="1" x14ac:dyDescent="0.2">
      <c r="C66" s="81"/>
      <c r="D66" s="81"/>
      <c r="E66" s="81"/>
      <c r="F66" s="81"/>
      <c r="G66" s="81"/>
      <c r="H66" s="81"/>
    </row>
    <row r="67" spans="3:8" s="83" customFormat="1" x14ac:dyDescent="0.2">
      <c r="C67" s="81"/>
      <c r="D67" s="81"/>
      <c r="E67" s="81"/>
      <c r="F67" s="81"/>
      <c r="G67" s="81"/>
      <c r="H67" s="81"/>
    </row>
    <row r="68" spans="3:8" s="83" customFormat="1" x14ac:dyDescent="0.2">
      <c r="C68" s="81"/>
      <c r="D68" s="81"/>
      <c r="E68" s="81"/>
      <c r="F68" s="81"/>
      <c r="G68" s="81"/>
      <c r="H68" s="81"/>
    </row>
    <row r="69" spans="3:8" s="83" customFormat="1" x14ac:dyDescent="0.2">
      <c r="C69" s="81"/>
      <c r="D69" s="81"/>
      <c r="E69" s="81"/>
      <c r="F69" s="81"/>
      <c r="G69" s="81"/>
      <c r="H69" s="81"/>
    </row>
    <row r="70" spans="3:8" s="83" customFormat="1" x14ac:dyDescent="0.2">
      <c r="C70" s="81"/>
      <c r="D70" s="81"/>
      <c r="E70" s="81"/>
      <c r="F70" s="81"/>
      <c r="G70" s="81"/>
      <c r="H70" s="81"/>
    </row>
    <row r="71" spans="3:8" s="83" customFormat="1" x14ac:dyDescent="0.2">
      <c r="C71" s="81"/>
      <c r="D71" s="81"/>
      <c r="E71" s="81"/>
      <c r="F71" s="81"/>
      <c r="G71" s="81"/>
      <c r="H71" s="81"/>
    </row>
    <row r="72" spans="3:8" s="83" customFormat="1" x14ac:dyDescent="0.2">
      <c r="C72" s="81"/>
      <c r="D72" s="81"/>
      <c r="E72" s="81"/>
      <c r="F72" s="81"/>
      <c r="G72" s="81"/>
      <c r="H72" s="81"/>
    </row>
    <row r="73" spans="3:8" s="83" customFormat="1" x14ac:dyDescent="0.2">
      <c r="C73" s="81"/>
      <c r="D73" s="81"/>
      <c r="E73" s="81"/>
      <c r="F73" s="81"/>
      <c r="G73" s="81"/>
      <c r="H73" s="81"/>
    </row>
    <row r="74" spans="3:8" s="83" customFormat="1" x14ac:dyDescent="0.2">
      <c r="C74" s="81"/>
      <c r="D74" s="81"/>
      <c r="E74" s="81"/>
      <c r="F74" s="81"/>
      <c r="G74" s="81"/>
      <c r="H74" s="81"/>
    </row>
    <row r="75" spans="3:8" s="83" customFormat="1" x14ac:dyDescent="0.2">
      <c r="C75" s="81"/>
      <c r="D75" s="81"/>
      <c r="E75" s="81"/>
      <c r="F75" s="81"/>
      <c r="G75" s="81"/>
      <c r="H75" s="81"/>
    </row>
    <row r="76" spans="3:8" s="83" customFormat="1" x14ac:dyDescent="0.2">
      <c r="C76" s="81"/>
      <c r="D76" s="81"/>
      <c r="E76" s="81"/>
      <c r="F76" s="81"/>
      <c r="G76" s="81"/>
      <c r="H76" s="81"/>
    </row>
    <row r="77" spans="3:8" s="83" customFormat="1" x14ac:dyDescent="0.2">
      <c r="C77" s="81"/>
      <c r="D77" s="81"/>
      <c r="E77" s="81"/>
      <c r="F77" s="81"/>
      <c r="G77" s="81"/>
      <c r="H77" s="81"/>
    </row>
    <row r="78" spans="3:8" s="83" customFormat="1" x14ac:dyDescent="0.2">
      <c r="C78" s="81"/>
      <c r="D78" s="81"/>
      <c r="E78" s="81"/>
      <c r="F78" s="81"/>
      <c r="G78" s="81"/>
      <c r="H78" s="81"/>
    </row>
    <row r="79" spans="3:8" s="83" customFormat="1" x14ac:dyDescent="0.2">
      <c r="C79" s="81"/>
      <c r="D79" s="81"/>
      <c r="E79" s="81"/>
      <c r="F79" s="81"/>
      <c r="G79" s="81"/>
      <c r="H79" s="81"/>
    </row>
    <row r="80" spans="3:8" s="83" customFormat="1" x14ac:dyDescent="0.2">
      <c r="C80" s="81"/>
      <c r="D80" s="81"/>
      <c r="E80" s="81"/>
      <c r="F80" s="81"/>
      <c r="G80" s="81"/>
      <c r="H80" s="81"/>
    </row>
    <row r="81" spans="3:8" s="83" customFormat="1" x14ac:dyDescent="0.2">
      <c r="C81" s="81"/>
      <c r="D81" s="81"/>
      <c r="E81" s="81"/>
      <c r="F81" s="81"/>
      <c r="G81" s="81"/>
      <c r="H81" s="81"/>
    </row>
    <row r="82" spans="3:8" s="83" customFormat="1" x14ac:dyDescent="0.2">
      <c r="C82" s="81"/>
      <c r="D82" s="81"/>
      <c r="E82" s="81"/>
      <c r="F82" s="81"/>
      <c r="G82" s="81"/>
      <c r="H82" s="81"/>
    </row>
    <row r="83" spans="3:8" s="83" customFormat="1" x14ac:dyDescent="0.2">
      <c r="C83" s="81"/>
      <c r="D83" s="81"/>
      <c r="E83" s="81"/>
      <c r="F83" s="81"/>
      <c r="G83" s="81"/>
      <c r="H83" s="81"/>
    </row>
    <row r="84" spans="3:8" s="83" customFormat="1" x14ac:dyDescent="0.2">
      <c r="C84" s="81"/>
      <c r="D84" s="81"/>
      <c r="E84" s="81"/>
      <c r="F84" s="81"/>
      <c r="G84" s="81"/>
      <c r="H84" s="81"/>
    </row>
    <row r="85" spans="3:8" s="83" customFormat="1" x14ac:dyDescent="0.2">
      <c r="C85" s="81"/>
      <c r="D85" s="81"/>
      <c r="E85" s="81"/>
      <c r="F85" s="81"/>
      <c r="G85" s="81"/>
      <c r="H85" s="81"/>
    </row>
    <row r="86" spans="3:8" s="83" customFormat="1" x14ac:dyDescent="0.2">
      <c r="C86" s="81"/>
      <c r="D86" s="81"/>
      <c r="E86" s="81"/>
      <c r="F86" s="81"/>
      <c r="G86" s="81"/>
      <c r="H86" s="81"/>
    </row>
    <row r="87" spans="3:8" s="83" customFormat="1" x14ac:dyDescent="0.2">
      <c r="C87" s="81"/>
      <c r="D87" s="81"/>
      <c r="E87" s="81"/>
      <c r="F87" s="81"/>
      <c r="G87" s="81"/>
      <c r="H87" s="81"/>
    </row>
    <row r="88" spans="3:8" s="83" customFormat="1" x14ac:dyDescent="0.2">
      <c r="C88" s="81"/>
      <c r="D88" s="81"/>
      <c r="E88" s="81"/>
      <c r="F88" s="81"/>
      <c r="G88" s="81"/>
      <c r="H88" s="81"/>
    </row>
    <row r="89" spans="3:8" s="83" customFormat="1" x14ac:dyDescent="0.2">
      <c r="C89" s="81"/>
      <c r="D89" s="81"/>
      <c r="E89" s="81"/>
      <c r="F89" s="81"/>
      <c r="G89" s="81"/>
      <c r="H89" s="81"/>
    </row>
    <row r="90" spans="3:8" s="83" customFormat="1" x14ac:dyDescent="0.2">
      <c r="C90" s="81"/>
      <c r="D90" s="81"/>
      <c r="E90" s="81"/>
      <c r="F90" s="81"/>
      <c r="G90" s="81"/>
      <c r="H90" s="81"/>
    </row>
    <row r="91" spans="3:8" s="83" customFormat="1" x14ac:dyDescent="0.2">
      <c r="C91" s="81"/>
      <c r="D91" s="81"/>
      <c r="E91" s="81"/>
      <c r="F91" s="81"/>
      <c r="G91" s="81"/>
      <c r="H91" s="81"/>
    </row>
    <row r="92" spans="3:8" s="83" customFormat="1" x14ac:dyDescent="0.2">
      <c r="C92" s="81"/>
      <c r="D92" s="81"/>
      <c r="E92" s="81"/>
      <c r="F92" s="81"/>
      <c r="G92" s="81"/>
      <c r="H92" s="81"/>
    </row>
    <row r="93" spans="3:8" s="83" customFormat="1" x14ac:dyDescent="0.2">
      <c r="C93" s="81"/>
      <c r="D93" s="81"/>
      <c r="E93" s="81"/>
      <c r="F93" s="81"/>
      <c r="G93" s="81"/>
      <c r="H93" s="81"/>
    </row>
    <row r="94" spans="3:8" s="83" customFormat="1" x14ac:dyDescent="0.2">
      <c r="C94" s="81"/>
      <c r="D94" s="81"/>
      <c r="E94" s="81"/>
      <c r="F94" s="81"/>
      <c r="G94" s="81"/>
      <c r="H94" s="81"/>
    </row>
    <row r="95" spans="3:8" s="83" customFormat="1" x14ac:dyDescent="0.2">
      <c r="C95" s="81"/>
      <c r="D95" s="81"/>
      <c r="E95" s="81"/>
      <c r="F95" s="81"/>
      <c r="G95" s="81"/>
      <c r="H95" s="81"/>
    </row>
    <row r="96" spans="3:8" s="83" customFormat="1" x14ac:dyDescent="0.2">
      <c r="C96" s="81"/>
      <c r="D96" s="81"/>
      <c r="E96" s="81"/>
      <c r="F96" s="81"/>
      <c r="G96" s="81"/>
      <c r="H96" s="81"/>
    </row>
    <row r="97" spans="3:8" s="83" customFormat="1" x14ac:dyDescent="0.2">
      <c r="C97" s="81"/>
      <c r="D97" s="81"/>
      <c r="E97" s="81"/>
      <c r="F97" s="81"/>
      <c r="G97" s="81"/>
      <c r="H97" s="81"/>
    </row>
    <row r="98" spans="3:8" s="83" customFormat="1" x14ac:dyDescent="0.2">
      <c r="C98" s="81"/>
      <c r="D98" s="81"/>
      <c r="E98" s="81"/>
      <c r="F98" s="81"/>
      <c r="G98" s="81"/>
      <c r="H98" s="81"/>
    </row>
    <row r="99" spans="3:8" s="83" customFormat="1" x14ac:dyDescent="0.2">
      <c r="C99" s="81"/>
      <c r="D99" s="81"/>
      <c r="E99" s="81"/>
      <c r="F99" s="81"/>
      <c r="G99" s="81"/>
      <c r="H99" s="81"/>
    </row>
    <row r="100" spans="3:8" s="83" customFormat="1" x14ac:dyDescent="0.2">
      <c r="C100" s="81"/>
      <c r="D100" s="81"/>
      <c r="E100" s="81"/>
      <c r="F100" s="81"/>
      <c r="G100" s="81"/>
      <c r="H100" s="81"/>
    </row>
    <row r="101" spans="3:8" s="83" customFormat="1" x14ac:dyDescent="0.2">
      <c r="C101" s="81"/>
      <c r="D101" s="81"/>
      <c r="E101" s="81"/>
      <c r="F101" s="81"/>
      <c r="G101" s="81"/>
      <c r="H101" s="81"/>
    </row>
    <row r="102" spans="3:8" s="83" customFormat="1" x14ac:dyDescent="0.2">
      <c r="C102" s="81"/>
      <c r="D102" s="81"/>
      <c r="E102" s="81"/>
      <c r="F102" s="81"/>
      <c r="G102" s="81"/>
      <c r="H102" s="81"/>
    </row>
    <row r="103" spans="3:8" s="83" customFormat="1" x14ac:dyDescent="0.2">
      <c r="C103" s="81"/>
      <c r="D103" s="81"/>
      <c r="E103" s="81"/>
      <c r="F103" s="81"/>
      <c r="G103" s="81"/>
      <c r="H103" s="81"/>
    </row>
    <row r="104" spans="3:8" s="83" customFormat="1" x14ac:dyDescent="0.2">
      <c r="C104" s="81"/>
      <c r="D104" s="81"/>
      <c r="E104" s="81"/>
      <c r="F104" s="81"/>
      <c r="G104" s="81"/>
      <c r="H104" s="81"/>
    </row>
    <row r="105" spans="3:8" s="83" customFormat="1" x14ac:dyDescent="0.2">
      <c r="C105" s="81"/>
      <c r="D105" s="81"/>
      <c r="E105" s="81"/>
      <c r="F105" s="81"/>
      <c r="G105" s="81"/>
      <c r="H105" s="81"/>
    </row>
    <row r="106" spans="3:8" s="83" customFormat="1" x14ac:dyDescent="0.2">
      <c r="C106" s="81"/>
      <c r="D106" s="81"/>
      <c r="E106" s="81"/>
      <c r="F106" s="81"/>
      <c r="G106" s="81"/>
      <c r="H106" s="81"/>
    </row>
    <row r="107" spans="3:8" s="83" customFormat="1" x14ac:dyDescent="0.2">
      <c r="C107" s="81"/>
      <c r="D107" s="81"/>
      <c r="E107" s="81"/>
      <c r="F107" s="81"/>
      <c r="G107" s="81"/>
      <c r="H107" s="81"/>
    </row>
    <row r="108" spans="3:8" s="83" customFormat="1" x14ac:dyDescent="0.2">
      <c r="C108" s="81"/>
      <c r="D108" s="81"/>
      <c r="E108" s="81"/>
      <c r="F108" s="81"/>
      <c r="G108" s="81"/>
      <c r="H108" s="81"/>
    </row>
    <row r="109" spans="3:8" s="83" customFormat="1" x14ac:dyDescent="0.2">
      <c r="C109" s="81"/>
      <c r="D109" s="81"/>
      <c r="E109" s="81"/>
      <c r="F109" s="81"/>
      <c r="G109" s="81"/>
      <c r="H109" s="81"/>
    </row>
    <row r="110" spans="3:8" s="83" customFormat="1" x14ac:dyDescent="0.2">
      <c r="C110" s="81"/>
      <c r="D110" s="81"/>
      <c r="E110" s="81"/>
      <c r="F110" s="81"/>
      <c r="G110" s="81"/>
      <c r="H110" s="81"/>
    </row>
    <row r="111" spans="3:8" s="83" customFormat="1" x14ac:dyDescent="0.2">
      <c r="C111" s="81"/>
      <c r="D111" s="81"/>
      <c r="E111" s="81"/>
      <c r="F111" s="81"/>
      <c r="G111" s="81"/>
      <c r="H111" s="81"/>
    </row>
    <row r="112" spans="3:8" s="83" customFormat="1" x14ac:dyDescent="0.2">
      <c r="C112" s="81"/>
      <c r="D112" s="81"/>
      <c r="E112" s="81"/>
      <c r="F112" s="81"/>
      <c r="G112" s="81"/>
      <c r="H112" s="81"/>
    </row>
    <row r="113" spans="3:8" s="83" customFormat="1" x14ac:dyDescent="0.2">
      <c r="C113" s="81"/>
      <c r="D113" s="81"/>
      <c r="E113" s="81"/>
      <c r="F113" s="81"/>
      <c r="G113" s="81"/>
      <c r="H113" s="81"/>
    </row>
    <row r="114" spans="3:8" s="83" customFormat="1" x14ac:dyDescent="0.2">
      <c r="C114" s="81"/>
      <c r="D114" s="81"/>
      <c r="E114" s="81"/>
      <c r="F114" s="81"/>
      <c r="G114" s="81"/>
      <c r="H114" s="81"/>
    </row>
    <row r="115" spans="3:8" s="83" customFormat="1" x14ac:dyDescent="0.2">
      <c r="C115" s="81"/>
      <c r="D115" s="81"/>
      <c r="E115" s="81"/>
      <c r="F115" s="81"/>
      <c r="G115" s="81"/>
      <c r="H115" s="81"/>
    </row>
    <row r="116" spans="3:8" s="83" customFormat="1" x14ac:dyDescent="0.2">
      <c r="C116" s="81"/>
      <c r="D116" s="81"/>
      <c r="E116" s="81"/>
      <c r="F116" s="81"/>
      <c r="G116" s="81"/>
      <c r="H116" s="81"/>
    </row>
    <row r="117" spans="3:8" s="83" customFormat="1" x14ac:dyDescent="0.2">
      <c r="C117" s="81"/>
      <c r="D117" s="81"/>
      <c r="E117" s="81"/>
      <c r="F117" s="81"/>
      <c r="G117" s="81"/>
      <c r="H117" s="81"/>
    </row>
    <row r="118" spans="3:8" s="83" customFormat="1" x14ac:dyDescent="0.2">
      <c r="C118" s="81"/>
      <c r="D118" s="81"/>
      <c r="E118" s="81"/>
      <c r="F118" s="81"/>
      <c r="G118" s="81"/>
      <c r="H118" s="81"/>
    </row>
    <row r="119" spans="3:8" s="83" customFormat="1" x14ac:dyDescent="0.2">
      <c r="C119" s="81"/>
      <c r="D119" s="81"/>
      <c r="E119" s="81"/>
      <c r="F119" s="81"/>
      <c r="G119" s="81"/>
      <c r="H119" s="81"/>
    </row>
    <row r="120" spans="3:8" s="83" customFormat="1" x14ac:dyDescent="0.2">
      <c r="C120" s="81"/>
      <c r="D120" s="81"/>
      <c r="E120" s="81"/>
      <c r="F120" s="81"/>
      <c r="G120" s="81"/>
      <c r="H120" s="81"/>
    </row>
    <row r="121" spans="3:8" s="83" customFormat="1" x14ac:dyDescent="0.2">
      <c r="C121" s="81"/>
      <c r="D121" s="81"/>
      <c r="E121" s="81"/>
      <c r="F121" s="81"/>
      <c r="G121" s="81"/>
      <c r="H121" s="81"/>
    </row>
    <row r="122" spans="3:8" s="83" customFormat="1" x14ac:dyDescent="0.2">
      <c r="C122" s="81"/>
      <c r="D122" s="81"/>
      <c r="E122" s="81"/>
      <c r="F122" s="81"/>
      <c r="G122" s="81"/>
      <c r="H122" s="81"/>
    </row>
    <row r="123" spans="3:8" s="83" customFormat="1" x14ac:dyDescent="0.2">
      <c r="C123" s="81"/>
      <c r="D123" s="81"/>
      <c r="E123" s="81"/>
      <c r="F123" s="81"/>
      <c r="G123" s="81"/>
      <c r="H123" s="81"/>
    </row>
    <row r="124" spans="3:8" s="83" customFormat="1" x14ac:dyDescent="0.2">
      <c r="C124" s="81"/>
      <c r="D124" s="81"/>
      <c r="E124" s="81"/>
      <c r="F124" s="81"/>
      <c r="G124" s="81"/>
      <c r="H124" s="81"/>
    </row>
    <row r="125" spans="3:8" s="83" customFormat="1" x14ac:dyDescent="0.2">
      <c r="C125" s="81"/>
      <c r="D125" s="81"/>
      <c r="E125" s="81"/>
      <c r="F125" s="81"/>
      <c r="G125" s="81"/>
      <c r="H125" s="81"/>
    </row>
    <row r="126" spans="3:8" s="83" customFormat="1" x14ac:dyDescent="0.2">
      <c r="C126" s="81"/>
      <c r="D126" s="81"/>
      <c r="E126" s="81"/>
      <c r="F126" s="81"/>
      <c r="G126" s="81"/>
      <c r="H126" s="81"/>
    </row>
    <row r="127" spans="3:8" s="83" customFormat="1" x14ac:dyDescent="0.2">
      <c r="C127" s="81"/>
      <c r="D127" s="81"/>
      <c r="E127" s="81"/>
      <c r="F127" s="81"/>
      <c r="G127" s="81"/>
      <c r="H127" s="81"/>
    </row>
    <row r="128" spans="3:8" s="83" customFormat="1" x14ac:dyDescent="0.2">
      <c r="C128" s="81"/>
      <c r="D128" s="81"/>
      <c r="E128" s="81"/>
      <c r="F128" s="81"/>
      <c r="G128" s="81"/>
      <c r="H128" s="81"/>
    </row>
    <row r="129" spans="3:8" s="83" customFormat="1" x14ac:dyDescent="0.2">
      <c r="C129" s="81"/>
      <c r="D129" s="81"/>
      <c r="E129" s="81"/>
      <c r="F129" s="81"/>
      <c r="G129" s="81"/>
      <c r="H129" s="81"/>
    </row>
    <row r="130" spans="3:8" s="83" customFormat="1" x14ac:dyDescent="0.2">
      <c r="C130" s="81"/>
      <c r="D130" s="81"/>
      <c r="E130" s="81"/>
      <c r="F130" s="81"/>
      <c r="G130" s="81"/>
      <c r="H130" s="81"/>
    </row>
    <row r="131" spans="3:8" s="83" customFormat="1" x14ac:dyDescent="0.2">
      <c r="C131" s="81"/>
      <c r="D131" s="81"/>
      <c r="E131" s="81"/>
      <c r="F131" s="81"/>
      <c r="G131" s="81"/>
      <c r="H131" s="81"/>
    </row>
    <row r="132" spans="3:8" s="83" customFormat="1" x14ac:dyDescent="0.2">
      <c r="C132" s="81"/>
      <c r="D132" s="81"/>
      <c r="E132" s="81"/>
      <c r="F132" s="81"/>
      <c r="G132" s="81"/>
      <c r="H132" s="81"/>
    </row>
    <row r="133" spans="3:8" s="83" customFormat="1" x14ac:dyDescent="0.2">
      <c r="C133" s="81"/>
      <c r="D133" s="81"/>
      <c r="E133" s="81"/>
      <c r="F133" s="81"/>
      <c r="G133" s="81"/>
      <c r="H133" s="81"/>
    </row>
    <row r="134" spans="3:8" s="83" customFormat="1" x14ac:dyDescent="0.2">
      <c r="C134" s="81"/>
      <c r="D134" s="81"/>
      <c r="E134" s="81"/>
      <c r="F134" s="81"/>
      <c r="G134" s="81"/>
      <c r="H134" s="81"/>
    </row>
    <row r="135" spans="3:8" s="83" customFormat="1" x14ac:dyDescent="0.2">
      <c r="C135" s="81"/>
      <c r="D135" s="81"/>
      <c r="E135" s="81"/>
      <c r="F135" s="81"/>
      <c r="G135" s="81"/>
      <c r="H135" s="81"/>
    </row>
    <row r="136" spans="3:8" s="83" customFormat="1" x14ac:dyDescent="0.2">
      <c r="C136" s="81"/>
      <c r="D136" s="81"/>
      <c r="E136" s="81"/>
      <c r="F136" s="81"/>
      <c r="G136" s="81"/>
      <c r="H136" s="81"/>
    </row>
    <row r="137" spans="3:8" s="83" customFormat="1" x14ac:dyDescent="0.2">
      <c r="C137" s="81"/>
      <c r="D137" s="81"/>
      <c r="E137" s="81"/>
      <c r="F137" s="81"/>
      <c r="G137" s="81"/>
      <c r="H137" s="81"/>
    </row>
    <row r="138" spans="3:8" s="83" customFormat="1" x14ac:dyDescent="0.2">
      <c r="C138" s="81"/>
      <c r="D138" s="81"/>
      <c r="E138" s="81"/>
      <c r="F138" s="81"/>
      <c r="G138" s="81"/>
      <c r="H138" s="81"/>
    </row>
    <row r="139" spans="3:8" s="83" customFormat="1" x14ac:dyDescent="0.2">
      <c r="C139" s="81"/>
      <c r="D139" s="81"/>
      <c r="E139" s="81"/>
      <c r="F139" s="81"/>
      <c r="G139" s="81"/>
      <c r="H139" s="81"/>
    </row>
    <row r="140" spans="3:8" s="83" customFormat="1" x14ac:dyDescent="0.2">
      <c r="C140" s="81"/>
      <c r="D140" s="81"/>
      <c r="E140" s="81"/>
      <c r="F140" s="81"/>
      <c r="G140" s="81"/>
      <c r="H140" s="81"/>
    </row>
    <row r="141" spans="3:8" s="83" customFormat="1" x14ac:dyDescent="0.2">
      <c r="C141" s="81"/>
      <c r="D141" s="81"/>
      <c r="E141" s="81"/>
      <c r="F141" s="81"/>
      <c r="G141" s="81"/>
      <c r="H141" s="81"/>
    </row>
    <row r="142" spans="3:8" s="83" customFormat="1" x14ac:dyDescent="0.2">
      <c r="C142" s="81"/>
      <c r="D142" s="81"/>
      <c r="E142" s="81"/>
      <c r="F142" s="81"/>
      <c r="G142" s="81"/>
      <c r="H142" s="81"/>
    </row>
    <row r="143" spans="3:8" s="83" customFormat="1" x14ac:dyDescent="0.2">
      <c r="C143" s="81"/>
      <c r="D143" s="81"/>
      <c r="E143" s="81"/>
      <c r="F143" s="81"/>
      <c r="G143" s="81"/>
      <c r="H143" s="81"/>
    </row>
    <row r="144" spans="3:8" s="83" customFormat="1" x14ac:dyDescent="0.2">
      <c r="C144" s="81"/>
      <c r="D144" s="81"/>
      <c r="E144" s="81"/>
      <c r="F144" s="81"/>
      <c r="G144" s="81"/>
      <c r="H144" s="81"/>
    </row>
    <row r="145" spans="3:8" s="83" customFormat="1" x14ac:dyDescent="0.2">
      <c r="C145" s="81"/>
      <c r="D145" s="81"/>
      <c r="E145" s="81"/>
      <c r="F145" s="81"/>
      <c r="G145" s="81"/>
      <c r="H145" s="81"/>
    </row>
    <row r="146" spans="3:8" s="83" customFormat="1" x14ac:dyDescent="0.2">
      <c r="C146" s="81"/>
      <c r="D146" s="81"/>
      <c r="E146" s="81"/>
      <c r="F146" s="81"/>
      <c r="G146" s="81"/>
      <c r="H146" s="81"/>
    </row>
    <row r="147" spans="3:8" s="83" customFormat="1" x14ac:dyDescent="0.2">
      <c r="C147" s="81"/>
      <c r="D147" s="81"/>
      <c r="E147" s="81"/>
      <c r="F147" s="81"/>
      <c r="G147" s="81"/>
      <c r="H147" s="81"/>
    </row>
    <row r="148" spans="3:8" s="83" customFormat="1" x14ac:dyDescent="0.2">
      <c r="C148" s="81"/>
      <c r="D148" s="81"/>
      <c r="E148" s="81"/>
      <c r="F148" s="81"/>
      <c r="G148" s="81"/>
      <c r="H148" s="81"/>
    </row>
    <row r="149" spans="3:8" s="83" customFormat="1" x14ac:dyDescent="0.2">
      <c r="C149" s="81"/>
      <c r="D149" s="81"/>
      <c r="E149" s="81"/>
      <c r="F149" s="81"/>
      <c r="G149" s="81"/>
      <c r="H149" s="81"/>
    </row>
    <row r="150" spans="3:8" s="83" customFormat="1" x14ac:dyDescent="0.2">
      <c r="C150" s="81"/>
      <c r="D150" s="81"/>
      <c r="E150" s="81"/>
      <c r="F150" s="81"/>
      <c r="G150" s="81"/>
      <c r="H150" s="81"/>
    </row>
    <row r="151" spans="3:8" s="83" customFormat="1" x14ac:dyDescent="0.2">
      <c r="C151" s="81"/>
      <c r="D151" s="81"/>
      <c r="E151" s="81"/>
      <c r="F151" s="81"/>
      <c r="G151" s="81"/>
      <c r="H151" s="81"/>
    </row>
    <row r="152" spans="3:8" s="83" customFormat="1" x14ac:dyDescent="0.2">
      <c r="C152" s="81"/>
      <c r="D152" s="81"/>
      <c r="E152" s="81"/>
      <c r="F152" s="81"/>
      <c r="G152" s="81"/>
      <c r="H152" s="81"/>
    </row>
    <row r="153" spans="3:8" s="83" customFormat="1" x14ac:dyDescent="0.2">
      <c r="C153" s="81"/>
      <c r="D153" s="81"/>
      <c r="E153" s="81"/>
      <c r="F153" s="81"/>
      <c r="G153" s="81"/>
      <c r="H153" s="81"/>
    </row>
    <row r="154" spans="3:8" s="83" customFormat="1" x14ac:dyDescent="0.2">
      <c r="C154" s="81"/>
      <c r="D154" s="81"/>
      <c r="E154" s="81"/>
      <c r="F154" s="81"/>
      <c r="G154" s="81"/>
      <c r="H154" s="81"/>
    </row>
    <row r="155" spans="3:8" s="83" customFormat="1" x14ac:dyDescent="0.2">
      <c r="C155" s="81"/>
      <c r="D155" s="81"/>
      <c r="E155" s="81"/>
      <c r="F155" s="81"/>
      <c r="G155" s="81"/>
      <c r="H155" s="81"/>
    </row>
    <row r="156" spans="3:8" s="83" customFormat="1" x14ac:dyDescent="0.2">
      <c r="C156" s="81"/>
      <c r="D156" s="81"/>
      <c r="E156" s="81"/>
      <c r="F156" s="81"/>
      <c r="G156" s="81"/>
      <c r="H156" s="81"/>
    </row>
    <row r="157" spans="3:8" s="83" customFormat="1" x14ac:dyDescent="0.2">
      <c r="C157" s="81"/>
      <c r="D157" s="81"/>
      <c r="E157" s="81"/>
      <c r="F157" s="81"/>
      <c r="G157" s="81"/>
      <c r="H157" s="81"/>
    </row>
    <row r="158" spans="3:8" s="83" customFormat="1" x14ac:dyDescent="0.2">
      <c r="C158" s="81"/>
      <c r="D158" s="81"/>
      <c r="E158" s="81"/>
      <c r="F158" s="81"/>
      <c r="G158" s="81"/>
      <c r="H158" s="81"/>
    </row>
    <row r="159" spans="3:8" s="83" customFormat="1" x14ac:dyDescent="0.2">
      <c r="C159" s="81"/>
      <c r="D159" s="81"/>
      <c r="E159" s="81"/>
      <c r="F159" s="81"/>
      <c r="G159" s="81"/>
      <c r="H159" s="81"/>
    </row>
    <row r="160" spans="3:8" s="83" customFormat="1" x14ac:dyDescent="0.2">
      <c r="C160" s="81"/>
      <c r="D160" s="81"/>
      <c r="E160" s="81"/>
      <c r="F160" s="81"/>
      <c r="G160" s="81"/>
      <c r="H160" s="81"/>
    </row>
    <row r="161" spans="3:8" s="83" customFormat="1" x14ac:dyDescent="0.2">
      <c r="C161" s="81"/>
      <c r="D161" s="81"/>
      <c r="E161" s="81"/>
      <c r="F161" s="81"/>
      <c r="G161" s="81"/>
      <c r="H161" s="81"/>
    </row>
    <row r="162" spans="3:8" s="83" customFormat="1" x14ac:dyDescent="0.2">
      <c r="C162" s="81"/>
      <c r="D162" s="81"/>
      <c r="E162" s="81"/>
      <c r="F162" s="81"/>
      <c r="G162" s="81"/>
      <c r="H162" s="81"/>
    </row>
    <row r="163" spans="3:8" s="83" customFormat="1" x14ac:dyDescent="0.2">
      <c r="C163" s="81"/>
      <c r="D163" s="81"/>
      <c r="E163" s="81"/>
      <c r="F163" s="81"/>
      <c r="G163" s="81"/>
      <c r="H163" s="81"/>
    </row>
    <row r="164" spans="3:8" s="83" customFormat="1" x14ac:dyDescent="0.2">
      <c r="C164" s="81"/>
      <c r="D164" s="81"/>
      <c r="E164" s="81"/>
      <c r="F164" s="81"/>
      <c r="G164" s="81"/>
      <c r="H164" s="81"/>
    </row>
    <row r="165" spans="3:8" s="83" customFormat="1" x14ac:dyDescent="0.2">
      <c r="C165" s="81"/>
      <c r="D165" s="81"/>
      <c r="E165" s="81"/>
      <c r="F165" s="81"/>
      <c r="G165" s="81"/>
      <c r="H165" s="81"/>
    </row>
    <row r="166" spans="3:8" s="83" customFormat="1" x14ac:dyDescent="0.2">
      <c r="C166" s="81"/>
      <c r="D166" s="81"/>
      <c r="E166" s="81"/>
      <c r="F166" s="81"/>
      <c r="G166" s="81"/>
      <c r="H166" s="81"/>
    </row>
    <row r="167" spans="3:8" s="83" customFormat="1" x14ac:dyDescent="0.2">
      <c r="C167" s="81"/>
      <c r="D167" s="81"/>
      <c r="E167" s="81"/>
      <c r="F167" s="81"/>
      <c r="G167" s="81"/>
      <c r="H167" s="81"/>
    </row>
    <row r="168" spans="3:8" s="83" customFormat="1" x14ac:dyDescent="0.2">
      <c r="C168" s="81"/>
      <c r="D168" s="81"/>
      <c r="E168" s="81"/>
      <c r="F168" s="81"/>
      <c r="G168" s="81"/>
      <c r="H168" s="81"/>
    </row>
    <row r="169" spans="3:8" s="83" customFormat="1" x14ac:dyDescent="0.2">
      <c r="C169" s="81"/>
      <c r="D169" s="81"/>
      <c r="E169" s="81"/>
      <c r="F169" s="81"/>
      <c r="G169" s="81"/>
      <c r="H169" s="81"/>
    </row>
    <row r="170" spans="3:8" s="83" customFormat="1" x14ac:dyDescent="0.2">
      <c r="C170" s="81"/>
      <c r="D170" s="81"/>
      <c r="E170" s="81"/>
      <c r="F170" s="81"/>
      <c r="G170" s="81"/>
      <c r="H170" s="81"/>
    </row>
    <row r="171" spans="3:8" s="83" customFormat="1" x14ac:dyDescent="0.2">
      <c r="C171" s="81"/>
      <c r="D171" s="81"/>
      <c r="E171" s="81"/>
      <c r="F171" s="81"/>
      <c r="G171" s="81"/>
      <c r="H171" s="81"/>
    </row>
    <row r="172" spans="3:8" s="83" customFormat="1" x14ac:dyDescent="0.2">
      <c r="C172" s="81"/>
      <c r="D172" s="81"/>
      <c r="E172" s="81"/>
      <c r="F172" s="81"/>
      <c r="G172" s="81"/>
      <c r="H172" s="81"/>
    </row>
    <row r="173" spans="3:8" s="83" customFormat="1" x14ac:dyDescent="0.2">
      <c r="C173" s="81"/>
      <c r="D173" s="81"/>
      <c r="E173" s="81"/>
      <c r="F173" s="81"/>
      <c r="G173" s="81"/>
      <c r="H173" s="81"/>
    </row>
    <row r="174" spans="3:8" s="83" customFormat="1" x14ac:dyDescent="0.2">
      <c r="C174" s="81"/>
      <c r="D174" s="81"/>
      <c r="E174" s="81"/>
      <c r="F174" s="81"/>
      <c r="G174" s="81"/>
      <c r="H174" s="81"/>
    </row>
    <row r="175" spans="3:8" s="83" customFormat="1" x14ac:dyDescent="0.2">
      <c r="C175" s="81"/>
      <c r="D175" s="81"/>
      <c r="E175" s="81"/>
      <c r="F175" s="81"/>
      <c r="G175" s="81"/>
      <c r="H175" s="81"/>
    </row>
    <row r="176" spans="3:8" s="83" customFormat="1" x14ac:dyDescent="0.2">
      <c r="C176" s="81"/>
      <c r="D176" s="81"/>
      <c r="E176" s="81"/>
      <c r="F176" s="81"/>
      <c r="G176" s="81"/>
      <c r="H176" s="81"/>
    </row>
    <row r="177" spans="3:8" s="83" customFormat="1" x14ac:dyDescent="0.2">
      <c r="C177" s="81"/>
      <c r="D177" s="81"/>
      <c r="E177" s="81"/>
      <c r="F177" s="81"/>
      <c r="G177" s="81"/>
      <c r="H177" s="81"/>
    </row>
    <row r="178" spans="3:8" s="83" customFormat="1" x14ac:dyDescent="0.2">
      <c r="C178" s="81"/>
      <c r="D178" s="81"/>
      <c r="E178" s="81"/>
      <c r="F178" s="81"/>
      <c r="G178" s="81"/>
      <c r="H178" s="81"/>
    </row>
    <row r="179" spans="3:8" s="83" customFormat="1" x14ac:dyDescent="0.2">
      <c r="C179" s="81"/>
      <c r="D179" s="81"/>
      <c r="E179" s="81"/>
      <c r="F179" s="81"/>
      <c r="G179" s="81"/>
      <c r="H179" s="81"/>
    </row>
    <row r="180" spans="3:8" s="83" customFormat="1" x14ac:dyDescent="0.2">
      <c r="C180" s="81"/>
      <c r="D180" s="81"/>
      <c r="E180" s="81"/>
      <c r="F180" s="81"/>
      <c r="G180" s="81"/>
      <c r="H180" s="81"/>
    </row>
    <row r="181" spans="3:8" s="83" customFormat="1" x14ac:dyDescent="0.2">
      <c r="C181" s="81"/>
      <c r="D181" s="81"/>
      <c r="E181" s="81"/>
      <c r="F181" s="81"/>
      <c r="G181" s="81"/>
      <c r="H181" s="81"/>
    </row>
    <row r="182" spans="3:8" s="83" customFormat="1" x14ac:dyDescent="0.2">
      <c r="C182" s="81"/>
      <c r="D182" s="81"/>
      <c r="E182" s="81"/>
      <c r="F182" s="81"/>
      <c r="G182" s="81"/>
      <c r="H182" s="81"/>
    </row>
    <row r="183" spans="3:8" s="83" customFormat="1" x14ac:dyDescent="0.2">
      <c r="C183" s="81"/>
      <c r="D183" s="81"/>
      <c r="E183" s="81"/>
      <c r="F183" s="81"/>
      <c r="G183" s="81"/>
      <c r="H183" s="81"/>
    </row>
    <row r="184" spans="3:8" s="83" customFormat="1" x14ac:dyDescent="0.2">
      <c r="C184" s="81"/>
      <c r="D184" s="81"/>
      <c r="E184" s="81"/>
      <c r="F184" s="81"/>
      <c r="G184" s="81"/>
      <c r="H184" s="81"/>
    </row>
    <row r="185" spans="3:8" s="83" customFormat="1" x14ac:dyDescent="0.2">
      <c r="C185" s="81"/>
      <c r="D185" s="81"/>
      <c r="E185" s="81"/>
      <c r="F185" s="81"/>
      <c r="G185" s="81"/>
      <c r="H185" s="81"/>
    </row>
    <row r="186" spans="3:8" s="83" customFormat="1" x14ac:dyDescent="0.2">
      <c r="C186" s="81"/>
      <c r="D186" s="81"/>
      <c r="E186" s="81"/>
      <c r="F186" s="81"/>
      <c r="G186" s="81"/>
      <c r="H186" s="81"/>
    </row>
    <row r="187" spans="3:8" s="83" customFormat="1" x14ac:dyDescent="0.2">
      <c r="C187" s="81"/>
      <c r="D187" s="81"/>
      <c r="E187" s="81"/>
      <c r="F187" s="81"/>
      <c r="G187" s="81"/>
      <c r="H187" s="81"/>
    </row>
    <row r="188" spans="3:8" s="83" customFormat="1" x14ac:dyDescent="0.2">
      <c r="C188" s="81"/>
      <c r="D188" s="81"/>
      <c r="E188" s="81"/>
      <c r="F188" s="81"/>
      <c r="G188" s="81"/>
      <c r="H188" s="81"/>
    </row>
    <row r="189" spans="3:8" s="83" customFormat="1" x14ac:dyDescent="0.2">
      <c r="C189" s="81"/>
      <c r="D189" s="81"/>
      <c r="E189" s="81"/>
      <c r="F189" s="81"/>
      <c r="G189" s="81"/>
      <c r="H189" s="81"/>
    </row>
    <row r="190" spans="3:8" s="83" customFormat="1" x14ac:dyDescent="0.2">
      <c r="C190" s="81"/>
      <c r="D190" s="81"/>
      <c r="E190" s="81"/>
      <c r="F190" s="81"/>
      <c r="G190" s="81"/>
      <c r="H190" s="81"/>
    </row>
    <row r="191" spans="3:8" s="83" customFormat="1" x14ac:dyDescent="0.2">
      <c r="C191" s="81"/>
      <c r="D191" s="81"/>
      <c r="E191" s="81"/>
      <c r="F191" s="81"/>
      <c r="G191" s="81"/>
      <c r="H191" s="81"/>
    </row>
    <row r="192" spans="3:8" s="83" customFormat="1" x14ac:dyDescent="0.2">
      <c r="C192" s="81"/>
      <c r="D192" s="81"/>
      <c r="E192" s="81"/>
      <c r="F192" s="81"/>
      <c r="G192" s="81"/>
      <c r="H192" s="81"/>
    </row>
    <row r="193" spans="3:8" s="83" customFormat="1" x14ac:dyDescent="0.2">
      <c r="C193" s="81"/>
      <c r="D193" s="81"/>
      <c r="E193" s="81"/>
      <c r="F193" s="81"/>
      <c r="G193" s="81"/>
      <c r="H193" s="81"/>
    </row>
    <row r="194" spans="3:8" s="83" customFormat="1" x14ac:dyDescent="0.2">
      <c r="C194" s="81"/>
      <c r="D194" s="81"/>
      <c r="E194" s="81"/>
      <c r="F194" s="81"/>
      <c r="G194" s="81"/>
      <c r="H194" s="81"/>
    </row>
    <row r="195" spans="3:8" s="83" customFormat="1" x14ac:dyDescent="0.2">
      <c r="C195" s="81"/>
      <c r="D195" s="81"/>
      <c r="E195" s="81"/>
      <c r="F195" s="81"/>
      <c r="G195" s="81"/>
      <c r="H195" s="81"/>
    </row>
    <row r="196" spans="3:8" s="83" customFormat="1" x14ac:dyDescent="0.2">
      <c r="C196" s="81"/>
      <c r="D196" s="81"/>
      <c r="E196" s="81"/>
      <c r="F196" s="81"/>
      <c r="G196" s="81"/>
      <c r="H196" s="81"/>
    </row>
    <row r="197" spans="3:8" s="83" customFormat="1" x14ac:dyDescent="0.2">
      <c r="C197" s="81"/>
      <c r="D197" s="81"/>
      <c r="E197" s="81"/>
      <c r="F197" s="81"/>
      <c r="G197" s="81"/>
      <c r="H197" s="81"/>
    </row>
    <row r="198" spans="3:8" s="83" customFormat="1" x14ac:dyDescent="0.2">
      <c r="C198" s="81"/>
      <c r="D198" s="81"/>
      <c r="E198" s="81"/>
      <c r="F198" s="81"/>
      <c r="G198" s="81"/>
      <c r="H198" s="81"/>
    </row>
    <row r="199" spans="3:8" s="83" customFormat="1" x14ac:dyDescent="0.2">
      <c r="C199" s="81"/>
      <c r="D199" s="81"/>
      <c r="E199" s="81"/>
      <c r="F199" s="81"/>
      <c r="G199" s="81"/>
      <c r="H199" s="81"/>
    </row>
    <row r="200" spans="3:8" s="83" customFormat="1" x14ac:dyDescent="0.2">
      <c r="C200" s="81"/>
      <c r="D200" s="81"/>
      <c r="E200" s="81"/>
      <c r="F200" s="81"/>
      <c r="G200" s="81"/>
      <c r="H200" s="81"/>
    </row>
    <row r="201" spans="3:8" s="83" customFormat="1" x14ac:dyDescent="0.2">
      <c r="C201" s="81"/>
      <c r="D201" s="81"/>
      <c r="E201" s="81"/>
      <c r="F201" s="81"/>
      <c r="G201" s="81"/>
      <c r="H201" s="81"/>
    </row>
    <row r="202" spans="3:8" s="83" customFormat="1" x14ac:dyDescent="0.2">
      <c r="C202" s="81"/>
      <c r="D202" s="81"/>
      <c r="E202" s="81"/>
      <c r="F202" s="81"/>
      <c r="G202" s="81"/>
      <c r="H202" s="81"/>
    </row>
    <row r="203" spans="3:8" s="83" customFormat="1" x14ac:dyDescent="0.2">
      <c r="C203" s="81"/>
      <c r="D203" s="81"/>
      <c r="E203" s="81"/>
      <c r="F203" s="81"/>
      <c r="G203" s="81"/>
      <c r="H203" s="81"/>
    </row>
    <row r="204" spans="3:8" s="83" customFormat="1" x14ac:dyDescent="0.2">
      <c r="C204" s="81"/>
      <c r="D204" s="81"/>
      <c r="E204" s="81"/>
      <c r="F204" s="81"/>
      <c r="G204" s="81"/>
      <c r="H204" s="81"/>
    </row>
    <row r="205" spans="3:8" s="83" customFormat="1" x14ac:dyDescent="0.2">
      <c r="C205" s="81"/>
      <c r="D205" s="81"/>
      <c r="E205" s="81"/>
      <c r="F205" s="81"/>
      <c r="G205" s="81"/>
      <c r="H205" s="81"/>
    </row>
    <row r="206" spans="3:8" s="83" customFormat="1" x14ac:dyDescent="0.2">
      <c r="C206" s="81"/>
      <c r="D206" s="81"/>
      <c r="E206" s="81"/>
      <c r="F206" s="81"/>
      <c r="G206" s="81"/>
      <c r="H206" s="81"/>
    </row>
    <row r="207" spans="3:8" s="83" customFormat="1" x14ac:dyDescent="0.2">
      <c r="C207" s="81"/>
      <c r="D207" s="81"/>
      <c r="E207" s="81"/>
      <c r="F207" s="81"/>
      <c r="G207" s="81"/>
      <c r="H207" s="81"/>
    </row>
    <row r="208" spans="3:8" s="83" customFormat="1" x14ac:dyDescent="0.2">
      <c r="C208" s="81"/>
      <c r="D208" s="81"/>
      <c r="E208" s="81"/>
      <c r="F208" s="81"/>
      <c r="G208" s="81"/>
      <c r="H208" s="81"/>
    </row>
    <row r="209" spans="3:8" s="83" customFormat="1" x14ac:dyDescent="0.2">
      <c r="C209" s="81"/>
      <c r="D209" s="81"/>
      <c r="E209" s="81"/>
      <c r="F209" s="81"/>
      <c r="G209" s="81"/>
      <c r="H209" s="81"/>
    </row>
    <row r="210" spans="3:8" s="83" customFormat="1" x14ac:dyDescent="0.2">
      <c r="C210" s="81"/>
      <c r="D210" s="81"/>
      <c r="E210" s="81"/>
      <c r="F210" s="81"/>
      <c r="G210" s="81"/>
      <c r="H210" s="81"/>
    </row>
    <row r="211" spans="3:8" s="83" customFormat="1" x14ac:dyDescent="0.2">
      <c r="C211" s="81"/>
      <c r="D211" s="81"/>
      <c r="E211" s="81"/>
      <c r="F211" s="81"/>
      <c r="G211" s="81"/>
      <c r="H211" s="81"/>
    </row>
    <row r="212" spans="3:8" s="83" customFormat="1" x14ac:dyDescent="0.2">
      <c r="C212" s="81"/>
      <c r="D212" s="81"/>
      <c r="E212" s="81"/>
      <c r="F212" s="81"/>
      <c r="G212" s="81"/>
      <c r="H212" s="81"/>
    </row>
    <row r="213" spans="3:8" s="83" customFormat="1" x14ac:dyDescent="0.2">
      <c r="C213" s="81"/>
      <c r="D213" s="81"/>
      <c r="E213" s="81"/>
      <c r="F213" s="81"/>
      <c r="G213" s="81"/>
      <c r="H213" s="81"/>
    </row>
    <row r="214" spans="3:8" s="83" customFormat="1" x14ac:dyDescent="0.2">
      <c r="C214" s="81"/>
      <c r="D214" s="81"/>
      <c r="E214" s="81"/>
      <c r="F214" s="81"/>
      <c r="G214" s="81"/>
      <c r="H214" s="81"/>
    </row>
    <row r="215" spans="3:8" s="83" customFormat="1" x14ac:dyDescent="0.2">
      <c r="C215" s="81"/>
      <c r="D215" s="81"/>
      <c r="E215" s="81"/>
      <c r="F215" s="81"/>
      <c r="G215" s="81"/>
      <c r="H215" s="81"/>
    </row>
    <row r="216" spans="3:8" s="83" customFormat="1" x14ac:dyDescent="0.2">
      <c r="C216" s="81"/>
      <c r="D216" s="81"/>
      <c r="E216" s="81"/>
      <c r="F216" s="81"/>
      <c r="G216" s="81"/>
      <c r="H216" s="81"/>
    </row>
    <row r="217" spans="3:8" s="83" customFormat="1" x14ac:dyDescent="0.2">
      <c r="C217" s="81"/>
      <c r="D217" s="81"/>
      <c r="E217" s="81"/>
      <c r="F217" s="81"/>
      <c r="G217" s="81"/>
      <c r="H217" s="81"/>
    </row>
    <row r="218" spans="3:8" s="83" customFormat="1" x14ac:dyDescent="0.2">
      <c r="C218" s="81"/>
      <c r="D218" s="81"/>
      <c r="E218" s="81"/>
      <c r="F218" s="81"/>
      <c r="G218" s="81"/>
      <c r="H218" s="81"/>
    </row>
    <row r="219" spans="3:8" s="83" customFormat="1" x14ac:dyDescent="0.2">
      <c r="C219" s="81"/>
      <c r="D219" s="81"/>
      <c r="E219" s="81"/>
      <c r="F219" s="81"/>
      <c r="G219" s="81"/>
      <c r="H219" s="81"/>
    </row>
    <row r="220" spans="3:8" s="83" customFormat="1" x14ac:dyDescent="0.2">
      <c r="C220" s="81"/>
      <c r="D220" s="81"/>
      <c r="E220" s="81"/>
      <c r="F220" s="81"/>
      <c r="G220" s="81"/>
      <c r="H220" s="81"/>
    </row>
    <row r="221" spans="3:8" s="83" customFormat="1" x14ac:dyDescent="0.2">
      <c r="C221" s="81"/>
      <c r="D221" s="81"/>
      <c r="E221" s="81"/>
      <c r="F221" s="81"/>
      <c r="G221" s="81"/>
      <c r="H221" s="81"/>
    </row>
    <row r="222" spans="3:8" s="83" customFormat="1" x14ac:dyDescent="0.2">
      <c r="C222" s="81"/>
      <c r="D222" s="81"/>
      <c r="E222" s="81"/>
      <c r="F222" s="81"/>
      <c r="G222" s="81"/>
      <c r="H222" s="81"/>
    </row>
    <row r="223" spans="3:8" s="83" customFormat="1" x14ac:dyDescent="0.2">
      <c r="C223" s="81"/>
      <c r="D223" s="81"/>
      <c r="E223" s="81"/>
      <c r="F223" s="81"/>
      <c r="G223" s="81"/>
      <c r="H223" s="81"/>
    </row>
    <row r="224" spans="3:8" s="83" customFormat="1" x14ac:dyDescent="0.2">
      <c r="C224" s="81"/>
      <c r="D224" s="81"/>
      <c r="E224" s="81"/>
      <c r="F224" s="81"/>
      <c r="G224" s="81"/>
      <c r="H224" s="81"/>
    </row>
    <row r="225" spans="3:8" s="83" customFormat="1" x14ac:dyDescent="0.2">
      <c r="C225" s="81"/>
      <c r="D225" s="81"/>
      <c r="E225" s="81"/>
      <c r="F225" s="81"/>
      <c r="G225" s="81"/>
      <c r="H225" s="81"/>
    </row>
    <row r="226" spans="3:8" s="83" customFormat="1" x14ac:dyDescent="0.2">
      <c r="C226" s="81"/>
      <c r="D226" s="81"/>
      <c r="E226" s="81"/>
      <c r="F226" s="81"/>
      <c r="G226" s="81"/>
      <c r="H226" s="81"/>
    </row>
    <row r="227" spans="3:8" s="83" customFormat="1" x14ac:dyDescent="0.2">
      <c r="C227" s="81"/>
      <c r="D227" s="81"/>
      <c r="E227" s="81"/>
      <c r="F227" s="81"/>
      <c r="G227" s="81"/>
      <c r="H227" s="81"/>
    </row>
    <row r="228" spans="3:8" s="83" customFormat="1" x14ac:dyDescent="0.2">
      <c r="C228" s="81"/>
      <c r="D228" s="81"/>
      <c r="E228" s="81"/>
      <c r="F228" s="81"/>
      <c r="G228" s="81"/>
      <c r="H228" s="81"/>
    </row>
    <row r="229" spans="3:8" s="83" customFormat="1" x14ac:dyDescent="0.2">
      <c r="C229" s="81"/>
      <c r="D229" s="81"/>
      <c r="E229" s="81"/>
      <c r="F229" s="81"/>
      <c r="G229" s="81"/>
      <c r="H229" s="81"/>
    </row>
    <row r="230" spans="3:8" s="83" customFormat="1" x14ac:dyDescent="0.2">
      <c r="C230" s="81"/>
      <c r="D230" s="81"/>
      <c r="E230" s="81"/>
      <c r="F230" s="81"/>
      <c r="G230" s="81"/>
      <c r="H230" s="81"/>
    </row>
    <row r="231" spans="3:8" s="83" customFormat="1" x14ac:dyDescent="0.2">
      <c r="C231" s="81"/>
      <c r="D231" s="81"/>
      <c r="E231" s="81"/>
      <c r="F231" s="81"/>
      <c r="G231" s="81"/>
      <c r="H231" s="81"/>
    </row>
    <row r="232" spans="3:8" s="83" customFormat="1" x14ac:dyDescent="0.2">
      <c r="C232" s="81"/>
      <c r="D232" s="81"/>
      <c r="E232" s="81"/>
      <c r="F232" s="81"/>
      <c r="G232" s="81"/>
      <c r="H232" s="81"/>
    </row>
    <row r="233" spans="3:8" s="83" customFormat="1" x14ac:dyDescent="0.2">
      <c r="C233" s="81"/>
      <c r="D233" s="81"/>
      <c r="E233" s="81"/>
      <c r="F233" s="81"/>
      <c r="G233" s="81"/>
      <c r="H233" s="81"/>
    </row>
    <row r="234" spans="3:8" s="83" customFormat="1" x14ac:dyDescent="0.2">
      <c r="C234" s="81"/>
      <c r="D234" s="81"/>
      <c r="E234" s="81"/>
      <c r="F234" s="81"/>
      <c r="G234" s="81"/>
      <c r="H234" s="81"/>
    </row>
    <row r="235" spans="3:8" s="83" customFormat="1" x14ac:dyDescent="0.2">
      <c r="C235" s="81"/>
      <c r="D235" s="81"/>
      <c r="E235" s="81"/>
      <c r="F235" s="81"/>
      <c r="G235" s="81"/>
      <c r="H235" s="81"/>
    </row>
    <row r="236" spans="3:8" s="83" customFormat="1" x14ac:dyDescent="0.2">
      <c r="C236" s="81"/>
      <c r="D236" s="81"/>
      <c r="E236" s="81"/>
      <c r="F236" s="81"/>
      <c r="G236" s="81"/>
      <c r="H236" s="81"/>
    </row>
    <row r="237" spans="3:8" s="83" customFormat="1" x14ac:dyDescent="0.2">
      <c r="C237" s="81"/>
      <c r="D237" s="81"/>
      <c r="E237" s="81"/>
      <c r="F237" s="81"/>
      <c r="G237" s="81"/>
      <c r="H237" s="81"/>
    </row>
    <row r="238" spans="3:8" s="83" customFormat="1" x14ac:dyDescent="0.2">
      <c r="C238" s="81"/>
      <c r="D238" s="81"/>
      <c r="E238" s="81"/>
      <c r="F238" s="81"/>
      <c r="G238" s="81"/>
      <c r="H238" s="81"/>
    </row>
    <row r="239" spans="3:8" s="83" customFormat="1" x14ac:dyDescent="0.2">
      <c r="C239" s="81"/>
      <c r="D239" s="81"/>
      <c r="E239" s="81"/>
      <c r="F239" s="81"/>
      <c r="G239" s="81"/>
      <c r="H239" s="81"/>
    </row>
    <row r="240" spans="3:8" s="83" customFormat="1" x14ac:dyDescent="0.2">
      <c r="C240" s="81"/>
      <c r="D240" s="81"/>
      <c r="E240" s="81"/>
      <c r="F240" s="81"/>
      <c r="G240" s="81"/>
      <c r="H240" s="81"/>
    </row>
    <row r="241" spans="3:8" s="83" customFormat="1" x14ac:dyDescent="0.2">
      <c r="C241" s="81"/>
      <c r="D241" s="81"/>
      <c r="E241" s="81"/>
      <c r="F241" s="81"/>
      <c r="G241" s="81"/>
      <c r="H241" s="81"/>
    </row>
    <row r="242" spans="3:8" s="83" customFormat="1" x14ac:dyDescent="0.2">
      <c r="C242" s="81"/>
      <c r="D242" s="81"/>
      <c r="E242" s="81"/>
      <c r="F242" s="81"/>
      <c r="G242" s="81"/>
      <c r="H242" s="81"/>
    </row>
    <row r="243" spans="3:8" s="83" customFormat="1" x14ac:dyDescent="0.2">
      <c r="C243" s="81"/>
      <c r="D243" s="81"/>
      <c r="E243" s="81"/>
      <c r="F243" s="81"/>
      <c r="G243" s="81"/>
      <c r="H243" s="81"/>
    </row>
    <row r="244" spans="3:8" s="83" customFormat="1" x14ac:dyDescent="0.2">
      <c r="C244" s="81"/>
      <c r="D244" s="81"/>
      <c r="E244" s="81"/>
      <c r="F244" s="81"/>
      <c r="G244" s="81"/>
      <c r="H244" s="81"/>
    </row>
    <row r="245" spans="3:8" s="83" customFormat="1" x14ac:dyDescent="0.2">
      <c r="C245" s="81"/>
      <c r="D245" s="81"/>
      <c r="E245" s="81"/>
      <c r="F245" s="81"/>
      <c r="G245" s="81"/>
      <c r="H245" s="81"/>
    </row>
    <row r="246" spans="3:8" s="83" customFormat="1" x14ac:dyDescent="0.2">
      <c r="C246" s="81"/>
      <c r="D246" s="81"/>
      <c r="E246" s="81"/>
      <c r="F246" s="81"/>
      <c r="G246" s="81"/>
      <c r="H246" s="81"/>
    </row>
    <row r="247" spans="3:8" s="83" customFormat="1" x14ac:dyDescent="0.2">
      <c r="C247" s="81"/>
      <c r="D247" s="81"/>
      <c r="E247" s="81"/>
      <c r="F247" s="81"/>
      <c r="G247" s="81"/>
      <c r="H247" s="81"/>
    </row>
    <row r="248" spans="3:8" s="83" customFormat="1" x14ac:dyDescent="0.2">
      <c r="C248" s="81"/>
      <c r="D248" s="81"/>
      <c r="E248" s="81"/>
      <c r="F248" s="81"/>
      <c r="G248" s="81"/>
      <c r="H248" s="81"/>
    </row>
    <row r="249" spans="3:8" s="83" customFormat="1" x14ac:dyDescent="0.2">
      <c r="C249" s="81"/>
      <c r="D249" s="81"/>
      <c r="E249" s="81"/>
      <c r="F249" s="81"/>
      <c r="G249" s="81"/>
      <c r="H249" s="81"/>
    </row>
    <row r="250" spans="3:8" s="83" customFormat="1" x14ac:dyDescent="0.2">
      <c r="C250" s="81"/>
      <c r="D250" s="81"/>
      <c r="E250" s="81"/>
      <c r="F250" s="81"/>
      <c r="G250" s="81"/>
      <c r="H250" s="81"/>
    </row>
    <row r="251" spans="3:8" s="83" customFormat="1" x14ac:dyDescent="0.2">
      <c r="C251" s="81"/>
      <c r="D251" s="81"/>
      <c r="E251" s="81"/>
      <c r="F251" s="81"/>
      <c r="G251" s="81"/>
      <c r="H251" s="81"/>
    </row>
    <row r="252" spans="3:8" s="83" customFormat="1" x14ac:dyDescent="0.2">
      <c r="C252" s="81"/>
      <c r="D252" s="81"/>
      <c r="E252" s="81"/>
      <c r="F252" s="81"/>
      <c r="G252" s="81"/>
      <c r="H252" s="81"/>
    </row>
    <row r="253" spans="3:8" s="83" customFormat="1" x14ac:dyDescent="0.2">
      <c r="C253" s="81"/>
      <c r="D253" s="81"/>
      <c r="E253" s="81"/>
      <c r="F253" s="81"/>
      <c r="G253" s="81"/>
      <c r="H253" s="81"/>
    </row>
    <row r="254" spans="3:8" s="83" customFormat="1" x14ac:dyDescent="0.2">
      <c r="C254" s="81"/>
      <c r="D254" s="81"/>
      <c r="E254" s="81"/>
      <c r="F254" s="81"/>
      <c r="G254" s="81"/>
      <c r="H254" s="81"/>
    </row>
    <row r="255" spans="3:8" s="83" customFormat="1" x14ac:dyDescent="0.2">
      <c r="C255" s="81"/>
      <c r="D255" s="81"/>
      <c r="E255" s="81"/>
      <c r="F255" s="81"/>
      <c r="G255" s="81"/>
      <c r="H255" s="81"/>
    </row>
    <row r="256" spans="3:8" s="83" customFormat="1" x14ac:dyDescent="0.2">
      <c r="C256" s="81"/>
      <c r="D256" s="81"/>
      <c r="E256" s="81"/>
      <c r="F256" s="81"/>
      <c r="G256" s="81"/>
      <c r="H256" s="81"/>
    </row>
    <row r="257" spans="3:8" s="83" customFormat="1" x14ac:dyDescent="0.2">
      <c r="C257" s="81"/>
      <c r="D257" s="81"/>
      <c r="E257" s="81"/>
      <c r="F257" s="81"/>
      <c r="G257" s="81"/>
      <c r="H257" s="81"/>
    </row>
    <row r="258" spans="3:8" s="83" customFormat="1" x14ac:dyDescent="0.2">
      <c r="C258" s="81"/>
      <c r="D258" s="81"/>
      <c r="E258" s="81"/>
      <c r="F258" s="81"/>
      <c r="G258" s="81"/>
      <c r="H258" s="81"/>
    </row>
    <row r="259" spans="3:8" s="83" customFormat="1" x14ac:dyDescent="0.2">
      <c r="C259" s="81"/>
      <c r="D259" s="81"/>
      <c r="E259" s="81"/>
      <c r="F259" s="81"/>
      <c r="G259" s="81"/>
      <c r="H259" s="81"/>
    </row>
    <row r="260" spans="3:8" s="83" customFormat="1" x14ac:dyDescent="0.2">
      <c r="C260" s="81"/>
      <c r="D260" s="81"/>
      <c r="E260" s="81"/>
      <c r="F260" s="81"/>
      <c r="G260" s="81"/>
      <c r="H260" s="81"/>
    </row>
    <row r="261" spans="3:8" s="83" customFormat="1" x14ac:dyDescent="0.2">
      <c r="C261" s="81"/>
      <c r="D261" s="81"/>
      <c r="E261" s="81"/>
      <c r="F261" s="81"/>
      <c r="G261" s="81"/>
      <c r="H261" s="81"/>
    </row>
    <row r="262" spans="3:8" s="83" customFormat="1" x14ac:dyDescent="0.2">
      <c r="C262" s="81"/>
      <c r="D262" s="81"/>
      <c r="E262" s="81"/>
      <c r="F262" s="81"/>
      <c r="G262" s="81"/>
      <c r="H262" s="81"/>
    </row>
    <row r="263" spans="3:8" s="83" customFormat="1" x14ac:dyDescent="0.2">
      <c r="C263" s="81"/>
      <c r="D263" s="81"/>
      <c r="E263" s="81"/>
      <c r="F263" s="81"/>
      <c r="G263" s="81"/>
      <c r="H263" s="81"/>
    </row>
    <row r="264" spans="3:8" s="83" customFormat="1" x14ac:dyDescent="0.2">
      <c r="C264" s="81"/>
      <c r="D264" s="81"/>
      <c r="E264" s="81"/>
      <c r="F264" s="81"/>
      <c r="G264" s="81"/>
      <c r="H264" s="81"/>
    </row>
    <row r="265" spans="3:8" s="83" customFormat="1" x14ac:dyDescent="0.2">
      <c r="C265" s="81"/>
      <c r="D265" s="81"/>
      <c r="E265" s="81"/>
      <c r="F265" s="81"/>
      <c r="G265" s="81"/>
      <c r="H265" s="81"/>
    </row>
    <row r="266" spans="3:8" s="83" customFormat="1" x14ac:dyDescent="0.2">
      <c r="C266" s="81"/>
      <c r="D266" s="81"/>
      <c r="E266" s="81"/>
      <c r="F266" s="81"/>
      <c r="G266" s="81"/>
      <c r="H266" s="81"/>
    </row>
    <row r="267" spans="3:8" s="83" customFormat="1" x14ac:dyDescent="0.2">
      <c r="C267" s="81"/>
      <c r="D267" s="81"/>
      <c r="E267" s="81"/>
      <c r="F267" s="81"/>
      <c r="G267" s="81"/>
      <c r="H267" s="81"/>
    </row>
    <row r="268" spans="3:8" s="83" customFormat="1" x14ac:dyDescent="0.2">
      <c r="C268" s="81"/>
      <c r="D268" s="81"/>
      <c r="E268" s="81"/>
      <c r="F268" s="81"/>
      <c r="G268" s="81"/>
      <c r="H268" s="81"/>
    </row>
    <row r="269" spans="3:8" s="83" customFormat="1" x14ac:dyDescent="0.2">
      <c r="C269" s="81"/>
      <c r="D269" s="81"/>
      <c r="E269" s="81"/>
      <c r="F269" s="81"/>
      <c r="G269" s="81"/>
      <c r="H269" s="81"/>
    </row>
    <row r="270" spans="3:8" s="83" customFormat="1" x14ac:dyDescent="0.2">
      <c r="C270" s="81"/>
      <c r="D270" s="81"/>
      <c r="E270" s="81"/>
      <c r="F270" s="81"/>
      <c r="G270" s="81"/>
      <c r="H270" s="81"/>
    </row>
    <row r="271" spans="3:8" s="83" customFormat="1" x14ac:dyDescent="0.2">
      <c r="C271" s="81"/>
      <c r="D271" s="81"/>
      <c r="E271" s="81"/>
      <c r="F271" s="81"/>
      <c r="G271" s="81"/>
      <c r="H271" s="81"/>
    </row>
    <row r="272" spans="3:8" s="83" customFormat="1" x14ac:dyDescent="0.2">
      <c r="C272" s="81"/>
      <c r="D272" s="81"/>
      <c r="E272" s="81"/>
      <c r="F272" s="81"/>
      <c r="G272" s="81"/>
      <c r="H272" s="81"/>
    </row>
    <row r="273" spans="3:8" s="83" customFormat="1" x14ac:dyDescent="0.2">
      <c r="C273" s="81"/>
      <c r="D273" s="81"/>
      <c r="E273" s="81"/>
      <c r="F273" s="81"/>
      <c r="G273" s="81"/>
      <c r="H273" s="81"/>
    </row>
    <row r="274" spans="3:8" s="83" customFormat="1" x14ac:dyDescent="0.2">
      <c r="C274" s="81"/>
      <c r="D274" s="81"/>
      <c r="E274" s="81"/>
      <c r="F274" s="81"/>
      <c r="G274" s="81"/>
      <c r="H274" s="81"/>
    </row>
    <row r="275" spans="3:8" s="83" customFormat="1" x14ac:dyDescent="0.2">
      <c r="C275" s="81"/>
      <c r="D275" s="81"/>
      <c r="E275" s="81"/>
      <c r="F275" s="81"/>
      <c r="G275" s="81"/>
      <c r="H275" s="81"/>
    </row>
    <row r="276" spans="3:8" s="83" customFormat="1" x14ac:dyDescent="0.2">
      <c r="C276" s="81"/>
      <c r="D276" s="81"/>
      <c r="E276" s="81"/>
      <c r="F276" s="81"/>
      <c r="G276" s="81"/>
      <c r="H276" s="81"/>
    </row>
    <row r="277" spans="3:8" s="83" customFormat="1" x14ac:dyDescent="0.2">
      <c r="C277" s="81"/>
      <c r="D277" s="81"/>
      <c r="E277" s="81"/>
      <c r="F277" s="81"/>
      <c r="G277" s="81"/>
      <c r="H277" s="81"/>
    </row>
    <row r="278" spans="3:8" s="83" customFormat="1" x14ac:dyDescent="0.2">
      <c r="C278" s="81"/>
      <c r="D278" s="81"/>
      <c r="E278" s="81"/>
      <c r="F278" s="81"/>
      <c r="G278" s="81"/>
      <c r="H278" s="81"/>
    </row>
    <row r="279" spans="3:8" s="83" customFormat="1" x14ac:dyDescent="0.2">
      <c r="C279" s="81"/>
      <c r="D279" s="81"/>
      <c r="E279" s="81"/>
      <c r="F279" s="81"/>
      <c r="G279" s="81"/>
      <c r="H279" s="81"/>
    </row>
    <row r="280" spans="3:8" s="83" customFormat="1" x14ac:dyDescent="0.2">
      <c r="C280" s="81"/>
      <c r="D280" s="81"/>
      <c r="E280" s="81"/>
      <c r="F280" s="81"/>
      <c r="G280" s="81"/>
      <c r="H280" s="81"/>
    </row>
    <row r="281" spans="3:8" s="83" customFormat="1" x14ac:dyDescent="0.2">
      <c r="C281" s="81"/>
      <c r="D281" s="81"/>
      <c r="E281" s="81"/>
      <c r="F281" s="81"/>
      <c r="G281" s="81"/>
      <c r="H281" s="81"/>
    </row>
    <row r="282" spans="3:8" s="83" customFormat="1" x14ac:dyDescent="0.2">
      <c r="C282" s="81"/>
      <c r="D282" s="81"/>
      <c r="E282" s="81"/>
      <c r="F282" s="81"/>
      <c r="G282" s="81"/>
      <c r="H282" s="81"/>
    </row>
    <row r="283" spans="3:8" s="83" customFormat="1" x14ac:dyDescent="0.2">
      <c r="C283" s="81"/>
      <c r="D283" s="81"/>
      <c r="E283" s="81"/>
      <c r="F283" s="81"/>
      <c r="G283" s="81"/>
      <c r="H283" s="81"/>
    </row>
    <row r="284" spans="3:8" s="83" customFormat="1" x14ac:dyDescent="0.2">
      <c r="C284" s="81"/>
      <c r="D284" s="81"/>
      <c r="E284" s="81"/>
      <c r="F284" s="81"/>
      <c r="G284" s="81"/>
      <c r="H284" s="81"/>
    </row>
    <row r="285" spans="3:8" s="83" customFormat="1" x14ac:dyDescent="0.2">
      <c r="C285" s="81"/>
      <c r="D285" s="81"/>
      <c r="E285" s="81"/>
      <c r="F285" s="81"/>
      <c r="G285" s="81"/>
      <c r="H285" s="81"/>
    </row>
    <row r="286" spans="3:8" s="83" customFormat="1" x14ac:dyDescent="0.2">
      <c r="C286" s="81"/>
      <c r="D286" s="81"/>
      <c r="E286" s="81"/>
      <c r="F286" s="81"/>
      <c r="G286" s="81"/>
      <c r="H286" s="81"/>
    </row>
    <row r="287" spans="3:8" s="83" customFormat="1" x14ac:dyDescent="0.2">
      <c r="C287" s="81"/>
      <c r="D287" s="81"/>
      <c r="E287" s="81"/>
      <c r="F287" s="81"/>
      <c r="G287" s="81"/>
      <c r="H287" s="81"/>
    </row>
    <row r="288" spans="3:8" s="83" customFormat="1" x14ac:dyDescent="0.2">
      <c r="C288" s="81"/>
      <c r="D288" s="81"/>
      <c r="E288" s="81"/>
      <c r="F288" s="81"/>
      <c r="G288" s="81"/>
      <c r="H288" s="81"/>
    </row>
    <row r="289" spans="3:8" s="83" customFormat="1" x14ac:dyDescent="0.2">
      <c r="C289" s="81"/>
      <c r="D289" s="81"/>
      <c r="E289" s="81"/>
      <c r="F289" s="81"/>
      <c r="G289" s="81"/>
      <c r="H289" s="81"/>
    </row>
    <row r="290" spans="3:8" s="83" customFormat="1" x14ac:dyDescent="0.2">
      <c r="C290" s="81"/>
      <c r="D290" s="81"/>
      <c r="E290" s="81"/>
      <c r="F290" s="81"/>
      <c r="G290" s="81"/>
      <c r="H290" s="81"/>
    </row>
    <row r="291" spans="3:8" s="83" customFormat="1" x14ac:dyDescent="0.2">
      <c r="C291" s="81"/>
      <c r="D291" s="81"/>
      <c r="E291" s="81"/>
      <c r="F291" s="81"/>
      <c r="G291" s="81"/>
      <c r="H291" s="81"/>
    </row>
    <row r="292" spans="3:8" s="83" customFormat="1" x14ac:dyDescent="0.2">
      <c r="C292" s="81"/>
      <c r="D292" s="81"/>
      <c r="E292" s="81"/>
      <c r="F292" s="81"/>
      <c r="G292" s="81"/>
      <c r="H292" s="81"/>
    </row>
    <row r="293" spans="3:8" s="83" customFormat="1" x14ac:dyDescent="0.2">
      <c r="C293" s="81"/>
      <c r="D293" s="81"/>
      <c r="E293" s="81"/>
      <c r="F293" s="81"/>
      <c r="G293" s="81"/>
      <c r="H293" s="81"/>
    </row>
    <row r="294" spans="3:8" s="83" customFormat="1" x14ac:dyDescent="0.2">
      <c r="C294" s="81"/>
      <c r="D294" s="81"/>
      <c r="E294" s="81"/>
      <c r="F294" s="81"/>
      <c r="G294" s="81"/>
      <c r="H294" s="81"/>
    </row>
    <row r="295" spans="3:8" s="83" customFormat="1" x14ac:dyDescent="0.2">
      <c r="C295" s="81"/>
      <c r="D295" s="81"/>
      <c r="E295" s="81"/>
      <c r="F295" s="81"/>
      <c r="G295" s="81"/>
      <c r="H295" s="81"/>
    </row>
    <row r="296" spans="3:8" s="83" customFormat="1" x14ac:dyDescent="0.2">
      <c r="C296" s="81"/>
      <c r="D296" s="81"/>
      <c r="E296" s="81"/>
      <c r="F296" s="81"/>
      <c r="G296" s="81"/>
      <c r="H296" s="81"/>
    </row>
    <row r="297" spans="3:8" s="83" customFormat="1" x14ac:dyDescent="0.2">
      <c r="C297" s="81"/>
      <c r="D297" s="81"/>
      <c r="E297" s="81"/>
      <c r="F297" s="81"/>
      <c r="G297" s="81"/>
      <c r="H297" s="81"/>
    </row>
    <row r="298" spans="3:8" s="83" customFormat="1" x14ac:dyDescent="0.2">
      <c r="C298" s="81"/>
      <c r="D298" s="81"/>
      <c r="E298" s="81"/>
      <c r="F298" s="81"/>
      <c r="G298" s="81"/>
      <c r="H298" s="81"/>
    </row>
    <row r="299" spans="3:8" s="83" customFormat="1" x14ac:dyDescent="0.2">
      <c r="C299" s="81"/>
      <c r="D299" s="81"/>
      <c r="E299" s="81"/>
      <c r="F299" s="81"/>
      <c r="G299" s="81"/>
      <c r="H299" s="81"/>
    </row>
    <row r="300" spans="3:8" s="83" customFormat="1" x14ac:dyDescent="0.2">
      <c r="C300" s="81"/>
      <c r="D300" s="81"/>
      <c r="E300" s="81"/>
      <c r="F300" s="81"/>
      <c r="G300" s="81"/>
      <c r="H300" s="81"/>
    </row>
    <row r="301" spans="3:8" s="83" customFormat="1" x14ac:dyDescent="0.2">
      <c r="C301" s="81"/>
      <c r="D301" s="81"/>
      <c r="E301" s="81"/>
      <c r="F301" s="81"/>
      <c r="G301" s="81"/>
      <c r="H301" s="81"/>
    </row>
    <row r="302" spans="3:8" s="83" customFormat="1" x14ac:dyDescent="0.2">
      <c r="C302" s="81"/>
      <c r="D302" s="81"/>
      <c r="E302" s="81"/>
      <c r="F302" s="81"/>
      <c r="G302" s="81"/>
      <c r="H302" s="81"/>
    </row>
    <row r="303" spans="3:8" s="83" customFormat="1" x14ac:dyDescent="0.2">
      <c r="C303" s="81"/>
      <c r="D303" s="81"/>
      <c r="E303" s="81"/>
      <c r="F303" s="81"/>
      <c r="G303" s="81"/>
      <c r="H303" s="81"/>
    </row>
    <row r="304" spans="3:8" s="83" customFormat="1" x14ac:dyDescent="0.2">
      <c r="C304" s="81"/>
      <c r="D304" s="81"/>
      <c r="E304" s="81"/>
      <c r="F304" s="81"/>
      <c r="G304" s="81"/>
      <c r="H304" s="81"/>
    </row>
    <row r="305" spans="3:8" s="83" customFormat="1" x14ac:dyDescent="0.2">
      <c r="C305" s="81"/>
      <c r="D305" s="81"/>
      <c r="E305" s="81"/>
      <c r="F305" s="81"/>
      <c r="G305" s="81"/>
      <c r="H305" s="81"/>
    </row>
    <row r="306" spans="3:8" s="83" customFormat="1" x14ac:dyDescent="0.2">
      <c r="C306" s="81"/>
      <c r="D306" s="81"/>
      <c r="E306" s="81"/>
      <c r="F306" s="81"/>
      <c r="G306" s="81"/>
      <c r="H306" s="81"/>
    </row>
    <row r="307" spans="3:8" s="83" customFormat="1" x14ac:dyDescent="0.2">
      <c r="C307" s="81"/>
      <c r="D307" s="81"/>
      <c r="E307" s="81"/>
      <c r="F307" s="81"/>
      <c r="G307" s="81"/>
      <c r="H307" s="81"/>
    </row>
    <row r="308" spans="3:8" s="83" customFormat="1" x14ac:dyDescent="0.2">
      <c r="C308" s="81"/>
      <c r="D308" s="81"/>
      <c r="E308" s="81"/>
      <c r="F308" s="81"/>
      <c r="G308" s="81"/>
      <c r="H308" s="81"/>
    </row>
    <row r="309" spans="3:8" s="83" customFormat="1" x14ac:dyDescent="0.2">
      <c r="C309" s="81"/>
      <c r="D309" s="81"/>
      <c r="E309" s="81"/>
      <c r="F309" s="81"/>
      <c r="G309" s="81"/>
      <c r="H309" s="81"/>
    </row>
  </sheetData>
  <mergeCells count="8">
    <mergeCell ref="R21:S21"/>
    <mergeCell ref="R26:S26"/>
    <mergeCell ref="A2:M2"/>
    <mergeCell ref="AG2:AX2"/>
    <mergeCell ref="AY2:BD2"/>
    <mergeCell ref="Q3:S3"/>
    <mergeCell ref="AG3:AR3"/>
    <mergeCell ref="AU3:AW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10"/>
  <sheetViews>
    <sheetView workbookViewId="0">
      <selection activeCell="N46" sqref="N46"/>
    </sheetView>
  </sheetViews>
  <sheetFormatPr defaultRowHeight="12.75" x14ac:dyDescent="0.2"/>
  <cols>
    <col min="1" max="1" width="18" style="79" customWidth="1"/>
    <col min="2" max="2" width="10.140625" style="80" customWidth="1"/>
    <col min="3" max="3" width="10.85546875" style="80" bestFit="1" customWidth="1"/>
    <col min="4" max="4" width="10.5703125" style="80" customWidth="1"/>
    <col min="5" max="6" width="11.140625" style="80" bestFit="1" customWidth="1"/>
    <col min="7" max="8" width="11.28515625" style="80" bestFit="1" customWidth="1"/>
    <col min="9" max="10" width="10.140625" style="80" customWidth="1"/>
    <col min="11" max="11" width="11.140625" style="80" bestFit="1" customWidth="1"/>
    <col min="12" max="12" width="11.85546875" style="80" bestFit="1" customWidth="1"/>
    <col min="13" max="13" width="12" style="80" bestFit="1" customWidth="1"/>
    <col min="14" max="14" width="12.7109375" style="80" bestFit="1" customWidth="1"/>
    <col min="15" max="15" width="11.7109375" style="80" customWidth="1"/>
    <col min="16" max="16" width="9.42578125" style="80" hidden="1" customWidth="1"/>
    <col min="17" max="17" width="11" style="80" bestFit="1" customWidth="1"/>
    <col min="18" max="18" width="9.5703125" style="80" customWidth="1"/>
    <col min="19" max="19" width="11" style="80" customWidth="1"/>
    <col min="20" max="20" width="11.140625" style="80" customWidth="1"/>
    <col min="21" max="21" width="8.7109375" style="82" customWidth="1"/>
    <col min="22" max="22" width="11.140625" style="83" bestFit="1" customWidth="1"/>
    <col min="23" max="23" width="11.42578125" style="83" bestFit="1" customWidth="1"/>
    <col min="24" max="24" width="12.140625" style="83" bestFit="1" customWidth="1"/>
    <col min="25" max="25" width="7" style="83" customWidth="1"/>
    <col min="26" max="26" width="11.42578125" style="83" bestFit="1" customWidth="1"/>
    <col min="27" max="27" width="11.140625" style="83" customWidth="1"/>
    <col min="28" max="28" width="8.85546875" style="83" bestFit="1" customWidth="1"/>
    <col min="29" max="29" width="16.5703125" style="83" bestFit="1" customWidth="1"/>
    <col min="30" max="30" width="12.140625" style="83" customWidth="1"/>
    <col min="31" max="31" width="10.140625" style="83" bestFit="1" customWidth="1"/>
    <col min="32" max="32" width="14" style="84" bestFit="1" customWidth="1"/>
    <col min="33" max="33" width="7.28515625" style="85" customWidth="1"/>
    <col min="34" max="35" width="6" style="85" customWidth="1"/>
    <col min="36" max="36" width="7.28515625" style="85" customWidth="1"/>
    <col min="37" max="37" width="6" style="85" customWidth="1"/>
    <col min="38" max="38" width="7.28515625" style="85" bestFit="1" customWidth="1"/>
    <col min="39" max="39" width="7.28515625" style="85" customWidth="1"/>
    <col min="40" max="40" width="6.85546875" style="85" customWidth="1"/>
    <col min="41" max="42" width="7.28515625" style="85" bestFit="1" customWidth="1"/>
    <col min="43" max="43" width="7.28515625" style="85" customWidth="1"/>
    <col min="44" max="44" width="7.28515625" style="85" bestFit="1" customWidth="1"/>
    <col min="45" max="45" width="6" style="85" hidden="1" customWidth="1"/>
    <col min="46" max="46" width="6.85546875" style="85" customWidth="1"/>
    <col min="47" max="47" width="7.7109375" style="85" bestFit="1" customWidth="1"/>
    <col min="48" max="48" width="8.42578125" style="85" bestFit="1" customWidth="1"/>
    <col min="49" max="49" width="7.5703125" style="85" bestFit="1" customWidth="1"/>
    <col min="50" max="50" width="8.5703125" style="85" customWidth="1"/>
    <col min="51" max="51" width="8.140625" style="85" customWidth="1"/>
    <col min="52" max="52" width="8.140625" style="83" bestFit="1" customWidth="1"/>
    <col min="53" max="54" width="7" style="83" bestFit="1" customWidth="1"/>
    <col min="55" max="55" width="8.28515625" style="83" bestFit="1" customWidth="1"/>
    <col min="56" max="56" width="8.140625" style="83" bestFit="1" customWidth="1"/>
    <col min="57" max="57" width="8.140625" style="83" customWidth="1"/>
    <col min="58" max="58" width="7.7109375" style="83" hidden="1" customWidth="1"/>
    <col min="59" max="59" width="7.7109375" style="83" customWidth="1"/>
    <col min="60" max="60" width="13.42578125" style="83" bestFit="1" customWidth="1"/>
    <col min="61" max="72" width="5.7109375" style="83" customWidth="1"/>
    <col min="73" max="73" width="6.140625" style="80" bestFit="1" customWidth="1"/>
    <col min="74" max="74" width="9.7109375" style="80" bestFit="1" customWidth="1"/>
    <col min="75" max="75" width="7.7109375" style="80" customWidth="1"/>
    <col min="76" max="76" width="9.7109375" style="80" customWidth="1"/>
    <col min="77" max="77" width="7.7109375" style="80" customWidth="1"/>
    <col min="78" max="78" width="5.7109375" style="80" customWidth="1"/>
    <col min="79" max="80" width="8.28515625" style="83" bestFit="1" customWidth="1"/>
    <col min="81" max="81" width="6.5703125" style="83" bestFit="1" customWidth="1"/>
    <col min="82" max="82" width="7.140625" style="83" bestFit="1" customWidth="1"/>
    <col min="83" max="83" width="7.140625" style="83" customWidth="1"/>
    <col min="84" max="84" width="7.85546875" style="83" bestFit="1" customWidth="1"/>
    <col min="85" max="86" width="8.85546875" style="83" bestFit="1" customWidth="1"/>
    <col min="87" max="90" width="9.28515625" style="83" bestFit="1" customWidth="1"/>
    <col min="91" max="100" width="9.140625" style="83"/>
    <col min="101" max="103" width="10" style="83" bestFit="1" customWidth="1"/>
    <col min="104" max="16384" width="9.140625" style="83"/>
  </cols>
  <sheetData>
    <row r="1" spans="1:90" ht="13.5" thickBot="1" x14ac:dyDescent="0.25">
      <c r="N1" s="81"/>
      <c r="O1" s="81"/>
    </row>
    <row r="2" spans="1:90" ht="13.5" thickBot="1" x14ac:dyDescent="0.25">
      <c r="A2" s="443" t="s">
        <v>90</v>
      </c>
      <c r="B2" s="444"/>
      <c r="C2" s="444"/>
      <c r="D2" s="444"/>
      <c r="E2" s="444"/>
      <c r="F2" s="444"/>
      <c r="G2" s="444"/>
      <c r="H2" s="444"/>
      <c r="I2" s="444"/>
      <c r="J2" s="444"/>
      <c r="K2" s="444"/>
      <c r="L2" s="444"/>
      <c r="M2" s="444"/>
      <c r="N2" s="86"/>
      <c r="O2" s="87"/>
      <c r="P2" s="88"/>
      <c r="Q2" s="88"/>
      <c r="R2" s="88"/>
      <c r="S2" s="87"/>
      <c r="T2" s="89"/>
      <c r="U2" s="89"/>
      <c r="V2" s="90"/>
      <c r="W2" s="90"/>
      <c r="X2" s="90"/>
      <c r="Y2" s="90"/>
      <c r="Z2" s="90"/>
      <c r="AA2" s="91"/>
      <c r="AB2" s="92"/>
      <c r="AC2" s="90"/>
      <c r="AD2" s="93"/>
      <c r="AE2" s="94"/>
      <c r="AF2" s="95"/>
      <c r="AG2" s="445" t="s">
        <v>33</v>
      </c>
      <c r="AH2" s="446"/>
      <c r="AI2" s="446"/>
      <c r="AJ2" s="446"/>
      <c r="AK2" s="446"/>
      <c r="AL2" s="446"/>
      <c r="AM2" s="446"/>
      <c r="AN2" s="446"/>
      <c r="AO2" s="446"/>
      <c r="AP2" s="446"/>
      <c r="AQ2" s="446"/>
      <c r="AR2" s="446"/>
      <c r="AS2" s="446"/>
      <c r="AT2" s="446"/>
      <c r="AU2" s="446"/>
      <c r="AV2" s="446"/>
      <c r="AW2" s="446"/>
      <c r="AX2" s="447"/>
      <c r="AY2" s="448" t="s">
        <v>34</v>
      </c>
      <c r="AZ2" s="449"/>
      <c r="BA2" s="449"/>
      <c r="BB2" s="449"/>
      <c r="BC2" s="449"/>
      <c r="BD2" s="450"/>
      <c r="BE2" s="96" t="s">
        <v>35</v>
      </c>
      <c r="BF2" s="97"/>
      <c r="BG2" s="97"/>
      <c r="BH2" s="98"/>
      <c r="BI2" s="99"/>
      <c r="BJ2" s="99"/>
      <c r="BK2" s="99"/>
      <c r="BL2" s="99"/>
      <c r="BM2" s="99"/>
      <c r="BN2" s="99"/>
      <c r="BO2" s="99"/>
      <c r="BP2" s="99"/>
      <c r="BQ2" s="99"/>
      <c r="BR2" s="99"/>
      <c r="BS2" s="99"/>
      <c r="BT2" s="99"/>
      <c r="BU2" s="99"/>
      <c r="BV2" s="99"/>
      <c r="BW2" s="99"/>
      <c r="BX2" s="99"/>
      <c r="BY2" s="99"/>
      <c r="BZ2" s="99"/>
      <c r="CA2" s="99"/>
      <c r="CB2" s="99"/>
      <c r="CC2" s="99"/>
      <c r="CD2" s="99"/>
      <c r="CE2" s="99"/>
      <c r="CF2" s="99"/>
      <c r="CG2" s="99" t="s">
        <v>36</v>
      </c>
      <c r="CH2" s="100" t="s">
        <v>36</v>
      </c>
      <c r="CI2" s="101" t="s">
        <v>36</v>
      </c>
      <c r="CJ2" s="102" t="s">
        <v>36</v>
      </c>
      <c r="CK2" s="103" t="s">
        <v>36</v>
      </c>
    </row>
    <row r="3" spans="1:90" x14ac:dyDescent="0.2">
      <c r="A3" s="104"/>
      <c r="B3" s="81"/>
      <c r="C3" s="81"/>
      <c r="D3" s="81"/>
      <c r="E3" s="81"/>
      <c r="F3" s="81"/>
      <c r="G3" s="81"/>
      <c r="H3" s="81"/>
      <c r="I3" s="81"/>
      <c r="J3" s="81"/>
      <c r="K3" s="81"/>
      <c r="L3" s="81"/>
      <c r="M3" s="81"/>
      <c r="N3" s="81"/>
      <c r="O3" s="105"/>
      <c r="P3" s="97"/>
      <c r="Q3" s="451" t="s">
        <v>37</v>
      </c>
      <c r="R3" s="451"/>
      <c r="S3" s="452"/>
      <c r="T3" s="106" t="s">
        <v>38</v>
      </c>
      <c r="U3" s="106" t="s">
        <v>39</v>
      </c>
      <c r="V3" s="107"/>
      <c r="W3" s="107"/>
      <c r="X3" s="107"/>
      <c r="Y3" s="107"/>
      <c r="Z3" s="107"/>
      <c r="AA3" s="108"/>
      <c r="AB3" s="106" t="s">
        <v>39</v>
      </c>
      <c r="AC3" s="107" t="s">
        <v>40</v>
      </c>
      <c r="AD3" s="108" t="s">
        <v>40</v>
      </c>
      <c r="AE3" s="109"/>
      <c r="AF3" s="110"/>
      <c r="AG3" s="453" t="s">
        <v>41</v>
      </c>
      <c r="AH3" s="454"/>
      <c r="AI3" s="454"/>
      <c r="AJ3" s="454"/>
      <c r="AK3" s="454"/>
      <c r="AL3" s="454"/>
      <c r="AM3" s="454"/>
      <c r="AN3" s="454"/>
      <c r="AO3" s="454"/>
      <c r="AP3" s="454"/>
      <c r="AQ3" s="454"/>
      <c r="AR3" s="454"/>
      <c r="AS3" s="111"/>
      <c r="AT3" s="111"/>
      <c r="AU3" s="455" t="s">
        <v>37</v>
      </c>
      <c r="AV3" s="455"/>
      <c r="AW3" s="456"/>
      <c r="AX3" s="112" t="s">
        <v>4</v>
      </c>
      <c r="AY3" s="113"/>
      <c r="AZ3" s="107"/>
      <c r="BA3" s="107"/>
      <c r="BB3" s="107"/>
      <c r="BC3" s="114"/>
      <c r="BD3" s="115" t="s">
        <v>4</v>
      </c>
      <c r="BE3" s="116" t="s">
        <v>4</v>
      </c>
      <c r="BF3" s="97"/>
      <c r="BG3" s="97"/>
      <c r="BH3" s="117" t="s">
        <v>42</v>
      </c>
      <c r="BI3" s="99"/>
      <c r="BJ3" s="99"/>
      <c r="BK3" s="99"/>
      <c r="BL3" s="99"/>
      <c r="BM3" s="99"/>
      <c r="BN3" s="99"/>
      <c r="BO3" s="99"/>
      <c r="BP3" s="99"/>
      <c r="BQ3" s="99"/>
      <c r="BR3" s="99"/>
      <c r="BS3" s="99"/>
      <c r="BT3" s="99"/>
      <c r="BU3" s="100"/>
      <c r="BV3" s="118"/>
      <c r="BW3" s="119" t="s">
        <v>37</v>
      </c>
      <c r="BX3" s="119"/>
      <c r="BY3" s="120"/>
      <c r="BZ3" s="121" t="s">
        <v>4</v>
      </c>
      <c r="CA3" s="122"/>
      <c r="CB3" s="90"/>
      <c r="CC3" s="90"/>
      <c r="CD3" s="90"/>
      <c r="CE3" s="90"/>
      <c r="CF3" s="123" t="s">
        <v>4</v>
      </c>
      <c r="CG3" s="124" t="s">
        <v>43</v>
      </c>
      <c r="CH3" s="96" t="s">
        <v>43</v>
      </c>
      <c r="CI3" s="125" t="s">
        <v>44</v>
      </c>
      <c r="CJ3" s="99" t="s">
        <v>44</v>
      </c>
      <c r="CK3" s="100" t="s">
        <v>44</v>
      </c>
    </row>
    <row r="4" spans="1:90" s="80" customFormat="1" x14ac:dyDescent="0.2">
      <c r="A4" s="104"/>
      <c r="B4" s="81" t="s">
        <v>45</v>
      </c>
      <c r="C4" s="81" t="s">
        <v>46</v>
      </c>
      <c r="D4" s="81" t="s">
        <v>47</v>
      </c>
      <c r="E4" s="81" t="s">
        <v>48</v>
      </c>
      <c r="F4" s="81" t="s">
        <v>49</v>
      </c>
      <c r="G4" s="81" t="s">
        <v>50</v>
      </c>
      <c r="H4" s="81" t="s">
        <v>51</v>
      </c>
      <c r="I4" s="81" t="s">
        <v>52</v>
      </c>
      <c r="J4" s="81" t="s">
        <v>53</v>
      </c>
      <c r="K4" s="81" t="s">
        <v>54</v>
      </c>
      <c r="L4" s="81" t="s">
        <v>55</v>
      </c>
      <c r="M4" s="81" t="s">
        <v>56</v>
      </c>
      <c r="N4" s="81" t="s">
        <v>57</v>
      </c>
      <c r="O4" s="126" t="s">
        <v>58</v>
      </c>
      <c r="P4" s="111"/>
      <c r="Q4" s="111"/>
      <c r="R4" s="111" t="s">
        <v>59</v>
      </c>
      <c r="S4" s="105" t="s">
        <v>4</v>
      </c>
      <c r="T4" s="106" t="s">
        <v>4</v>
      </c>
      <c r="U4" s="106" t="s">
        <v>4</v>
      </c>
      <c r="V4" s="107" t="s">
        <v>60</v>
      </c>
      <c r="W4" s="107" t="s">
        <v>60</v>
      </c>
      <c r="X4" s="107" t="s">
        <v>61</v>
      </c>
      <c r="Y4" s="107" t="s">
        <v>62</v>
      </c>
      <c r="Z4" s="107" t="s">
        <v>63</v>
      </c>
      <c r="AA4" s="108" t="s">
        <v>4</v>
      </c>
      <c r="AB4" s="106" t="s">
        <v>4</v>
      </c>
      <c r="AC4" s="107" t="s">
        <v>64</v>
      </c>
      <c r="AD4" s="108" t="s">
        <v>64</v>
      </c>
      <c r="AE4" s="81"/>
      <c r="AF4" s="110"/>
      <c r="AG4" s="127" t="s">
        <v>65</v>
      </c>
      <c r="AH4" s="128" t="s">
        <v>65</v>
      </c>
      <c r="AI4" s="128" t="s">
        <v>65</v>
      </c>
      <c r="AJ4" s="128" t="s">
        <v>65</v>
      </c>
      <c r="AK4" s="128" t="s">
        <v>65</v>
      </c>
      <c r="AL4" s="128" t="s">
        <v>65</v>
      </c>
      <c r="AM4" s="128" t="s">
        <v>65</v>
      </c>
      <c r="AN4" s="128" t="s">
        <v>65</v>
      </c>
      <c r="AO4" s="128" t="s">
        <v>65</v>
      </c>
      <c r="AP4" s="128" t="s">
        <v>65</v>
      </c>
      <c r="AQ4" s="128" t="s">
        <v>65</v>
      </c>
      <c r="AR4" s="128" t="s">
        <v>65</v>
      </c>
      <c r="AS4" s="111" t="s">
        <v>66</v>
      </c>
      <c r="AT4" s="129" t="s">
        <v>65</v>
      </c>
      <c r="AU4" s="111"/>
      <c r="AV4" s="130" t="s">
        <v>59</v>
      </c>
      <c r="AW4" s="131" t="s">
        <v>4</v>
      </c>
      <c r="AX4" s="112" t="s">
        <v>41</v>
      </c>
      <c r="AY4" s="113" t="s">
        <v>60</v>
      </c>
      <c r="AZ4" s="107" t="s">
        <v>60</v>
      </c>
      <c r="BA4" s="107" t="s">
        <v>61</v>
      </c>
      <c r="BB4" s="107" t="s">
        <v>62</v>
      </c>
      <c r="BC4" s="114" t="s">
        <v>63</v>
      </c>
      <c r="BD4" s="115" t="s">
        <v>5</v>
      </c>
      <c r="BE4" s="116" t="s">
        <v>67</v>
      </c>
      <c r="BF4" s="111"/>
      <c r="BG4" s="111"/>
      <c r="BH4" s="132" t="s">
        <v>36</v>
      </c>
      <c r="BI4" s="81" t="s">
        <v>65</v>
      </c>
      <c r="BJ4" s="81" t="s">
        <v>65</v>
      </c>
      <c r="BK4" s="81" t="s">
        <v>65</v>
      </c>
      <c r="BL4" s="81" t="s">
        <v>65</v>
      </c>
      <c r="BM4" s="81" t="s">
        <v>65</v>
      </c>
      <c r="BN4" s="81" t="s">
        <v>65</v>
      </c>
      <c r="BO4" s="81" t="s">
        <v>65</v>
      </c>
      <c r="BP4" s="81" t="s">
        <v>65</v>
      </c>
      <c r="BQ4" s="81" t="s">
        <v>65</v>
      </c>
      <c r="BR4" s="81" t="s">
        <v>65</v>
      </c>
      <c r="BS4" s="81" t="s">
        <v>65</v>
      </c>
      <c r="BT4" s="81" t="s">
        <v>65</v>
      </c>
      <c r="BU4" s="133" t="s">
        <v>65</v>
      </c>
      <c r="BV4" s="134" t="s">
        <v>66</v>
      </c>
      <c r="BW4" s="111"/>
      <c r="BX4" s="111" t="s">
        <v>59</v>
      </c>
      <c r="BY4" s="105" t="s">
        <v>4</v>
      </c>
      <c r="BZ4" s="106" t="s">
        <v>41</v>
      </c>
      <c r="CA4" s="135" t="s">
        <v>60</v>
      </c>
      <c r="CB4" s="107" t="s">
        <v>60</v>
      </c>
      <c r="CC4" s="107" t="s">
        <v>61</v>
      </c>
      <c r="CD4" s="107" t="s">
        <v>62</v>
      </c>
      <c r="CE4" s="114" t="s">
        <v>63</v>
      </c>
      <c r="CF4" s="114" t="s">
        <v>5</v>
      </c>
      <c r="CG4" s="136" t="s">
        <v>68</v>
      </c>
      <c r="CH4" s="116" t="s">
        <v>68</v>
      </c>
      <c r="CI4" s="137" t="s">
        <v>41</v>
      </c>
      <c r="CJ4" s="81" t="s">
        <v>5</v>
      </c>
      <c r="CK4" s="133" t="s">
        <v>4</v>
      </c>
    </row>
    <row r="5" spans="1:90" ht="13.5" thickBot="1" x14ac:dyDescent="0.25">
      <c r="A5" s="138"/>
      <c r="B5" s="139"/>
      <c r="C5" s="139"/>
      <c r="D5" s="139"/>
      <c r="E5" s="139"/>
      <c r="F5" s="139"/>
      <c r="G5" s="139"/>
      <c r="H5" s="139"/>
      <c r="I5" s="139"/>
      <c r="J5" s="139"/>
      <c r="K5" s="139"/>
      <c r="L5" s="139"/>
      <c r="M5" s="139"/>
      <c r="N5" s="139"/>
      <c r="O5" s="140" t="s">
        <v>69</v>
      </c>
      <c r="P5" s="141" t="s">
        <v>70</v>
      </c>
      <c r="Q5" s="141" t="s">
        <v>71</v>
      </c>
      <c r="R5" s="141" t="s">
        <v>71</v>
      </c>
      <c r="S5" s="142" t="s">
        <v>69</v>
      </c>
      <c r="T5" s="143" t="s">
        <v>69</v>
      </c>
      <c r="U5" s="143" t="s">
        <v>69</v>
      </c>
      <c r="V5" s="144" t="s">
        <v>72</v>
      </c>
      <c r="W5" s="144" t="s">
        <v>73</v>
      </c>
      <c r="X5" s="144"/>
      <c r="Y5" s="144" t="s">
        <v>74</v>
      </c>
      <c r="Z5" s="144" t="s">
        <v>75</v>
      </c>
      <c r="AA5" s="145" t="s">
        <v>69</v>
      </c>
      <c r="AB5" s="143" t="s">
        <v>69</v>
      </c>
      <c r="AC5" s="144" t="s">
        <v>38</v>
      </c>
      <c r="AD5" s="145" t="s">
        <v>76</v>
      </c>
      <c r="AE5" s="109"/>
      <c r="AF5" s="146"/>
      <c r="AG5" s="147">
        <v>1</v>
      </c>
      <c r="AH5" s="148">
        <v>2</v>
      </c>
      <c r="AI5" s="148">
        <v>4</v>
      </c>
      <c r="AJ5" s="148">
        <v>5</v>
      </c>
      <c r="AK5" s="148">
        <v>6</v>
      </c>
      <c r="AL5" s="148">
        <v>7</v>
      </c>
      <c r="AM5" s="148">
        <v>8</v>
      </c>
      <c r="AN5" s="148">
        <v>9</v>
      </c>
      <c r="AO5" s="148">
        <v>10</v>
      </c>
      <c r="AP5" s="148">
        <v>11</v>
      </c>
      <c r="AQ5" s="148">
        <v>12</v>
      </c>
      <c r="AR5" s="148">
        <v>14</v>
      </c>
      <c r="AS5" s="141" t="s">
        <v>70</v>
      </c>
      <c r="AT5" s="149">
        <v>15</v>
      </c>
      <c r="AU5" s="141" t="s">
        <v>71</v>
      </c>
      <c r="AV5" s="141" t="s">
        <v>71</v>
      </c>
      <c r="AW5" s="149" t="s">
        <v>69</v>
      </c>
      <c r="AX5" s="150" t="s">
        <v>69</v>
      </c>
      <c r="AY5" s="151" t="s">
        <v>72</v>
      </c>
      <c r="AZ5" s="144" t="s">
        <v>73</v>
      </c>
      <c r="BA5" s="144"/>
      <c r="BB5" s="144" t="s">
        <v>74</v>
      </c>
      <c r="BC5" s="152" t="s">
        <v>75</v>
      </c>
      <c r="BD5" s="153" t="s">
        <v>69</v>
      </c>
      <c r="BE5" s="154" t="s">
        <v>76</v>
      </c>
      <c r="BF5" s="111"/>
      <c r="BG5" s="111"/>
      <c r="BH5" s="155"/>
      <c r="BI5" s="139">
        <v>1</v>
      </c>
      <c r="BJ5" s="139">
        <v>2</v>
      </c>
      <c r="BK5" s="139">
        <v>4</v>
      </c>
      <c r="BL5" s="139">
        <v>5</v>
      </c>
      <c r="BM5" s="139">
        <v>6</v>
      </c>
      <c r="BN5" s="139">
        <v>7</v>
      </c>
      <c r="BO5" s="139">
        <v>8</v>
      </c>
      <c r="BP5" s="139">
        <v>9</v>
      </c>
      <c r="BQ5" s="139">
        <v>10</v>
      </c>
      <c r="BR5" s="139">
        <v>11</v>
      </c>
      <c r="BS5" s="139">
        <v>12</v>
      </c>
      <c r="BT5" s="139">
        <v>14</v>
      </c>
      <c r="BU5" s="140">
        <v>15</v>
      </c>
      <c r="BV5" s="156" t="s">
        <v>70</v>
      </c>
      <c r="BW5" s="141" t="s">
        <v>71</v>
      </c>
      <c r="BX5" s="141" t="s">
        <v>71</v>
      </c>
      <c r="BY5" s="142" t="s">
        <v>69</v>
      </c>
      <c r="BZ5" s="143" t="s">
        <v>43</v>
      </c>
      <c r="CA5" s="157" t="s">
        <v>72</v>
      </c>
      <c r="CB5" s="144" t="s">
        <v>73</v>
      </c>
      <c r="CC5" s="144"/>
      <c r="CD5" s="144" t="s">
        <v>74</v>
      </c>
      <c r="CE5" s="152" t="s">
        <v>75</v>
      </c>
      <c r="CF5" s="152" t="s">
        <v>69</v>
      </c>
      <c r="CG5" s="158" t="s">
        <v>77</v>
      </c>
      <c r="CH5" s="145" t="s">
        <v>76</v>
      </c>
      <c r="CI5" s="159" t="s">
        <v>78</v>
      </c>
      <c r="CJ5" s="139" t="s">
        <v>78</v>
      </c>
      <c r="CK5" s="140" t="s">
        <v>78</v>
      </c>
    </row>
    <row r="6" spans="1:90" x14ac:dyDescent="0.2">
      <c r="A6" s="160">
        <v>42005</v>
      </c>
      <c r="B6" s="161">
        <v>1010800</v>
      </c>
      <c r="C6" s="161">
        <v>0</v>
      </c>
      <c r="D6" s="161">
        <v>0</v>
      </c>
      <c r="E6" s="161">
        <v>17731000</v>
      </c>
      <c r="F6" s="161">
        <v>647000</v>
      </c>
      <c r="G6" s="161">
        <v>5305000</v>
      </c>
      <c r="H6" s="161">
        <v>9448000</v>
      </c>
      <c r="I6" s="161">
        <v>2445000</v>
      </c>
      <c r="J6" s="161">
        <v>9416000</v>
      </c>
      <c r="K6" s="304">
        <v>0</v>
      </c>
      <c r="L6" s="161">
        <v>3315000</v>
      </c>
      <c r="M6" s="161">
        <v>6139000</v>
      </c>
      <c r="N6" s="161">
        <v>0</v>
      </c>
      <c r="O6" s="166">
        <f t="shared" ref="O6:O14" si="0">SUM(B6:N6)</f>
        <v>55456800</v>
      </c>
      <c r="P6" s="163">
        <v>0</v>
      </c>
      <c r="Q6" s="161">
        <v>1380000</v>
      </c>
      <c r="R6" s="161">
        <v>267840</v>
      </c>
      <c r="S6" s="162">
        <f t="shared" ref="S6:S19" si="1">+Q6+R6</f>
        <v>1647840</v>
      </c>
      <c r="T6" s="164">
        <f>+O6+S6</f>
        <v>57104640</v>
      </c>
      <c r="U6" s="165">
        <f t="shared" ref="U6:U17" si="2">+T6/325872</f>
        <v>175.23641184268669</v>
      </c>
      <c r="V6" s="161">
        <v>0</v>
      </c>
      <c r="W6" s="161">
        <v>12310584</v>
      </c>
      <c r="X6" s="161">
        <v>29219872</v>
      </c>
      <c r="Y6" s="161">
        <v>0</v>
      </c>
      <c r="Z6" s="161">
        <v>0</v>
      </c>
      <c r="AA6" s="305">
        <f t="shared" ref="AA6:AA17" si="3">SUM(V6:Z6)</f>
        <v>41530456</v>
      </c>
      <c r="AB6" s="165">
        <f t="shared" ref="AB6:AB17" si="4">+AA6/325872</f>
        <v>127.44407620169882</v>
      </c>
      <c r="AC6" s="161">
        <f t="shared" ref="AC6:AC17" si="5">+AA6+T6</f>
        <v>98635096</v>
      </c>
      <c r="AD6" s="167">
        <f t="shared" ref="AD6:AD18" si="6">+AC6/325872</f>
        <v>302.68048804438553</v>
      </c>
      <c r="AE6" s="168"/>
      <c r="AF6" s="110">
        <f t="shared" ref="AF6:AF17" si="7">+A6</f>
        <v>42005</v>
      </c>
      <c r="AG6" s="169">
        <f t="shared" ref="AG6:AR17" si="8">+B6/325872</f>
        <v>3.1018313939215396</v>
      </c>
      <c r="AH6" s="170">
        <f t="shared" si="8"/>
        <v>0</v>
      </c>
      <c r="AI6" s="170">
        <f t="shared" si="8"/>
        <v>0</v>
      </c>
      <c r="AJ6" s="170">
        <f t="shared" si="8"/>
        <v>54.410934354593216</v>
      </c>
      <c r="AK6" s="170">
        <f t="shared" si="8"/>
        <v>1.9854421367899053</v>
      </c>
      <c r="AL6" s="170">
        <f t="shared" si="8"/>
        <v>16.279398045858496</v>
      </c>
      <c r="AM6" s="170">
        <f t="shared" si="8"/>
        <v>28.992978838316883</v>
      </c>
      <c r="AN6" s="170">
        <f t="shared" si="8"/>
        <v>7.5029459419649429</v>
      </c>
      <c r="AO6" s="170">
        <f t="shared" si="8"/>
        <v>28.894780772818777</v>
      </c>
      <c r="AP6" s="170">
        <f t="shared" si="8"/>
        <v>0</v>
      </c>
      <c r="AQ6" s="170">
        <f t="shared" si="8"/>
        <v>10.1727058476948</v>
      </c>
      <c r="AR6" s="170">
        <f t="shared" si="8"/>
        <v>18.838685127902981</v>
      </c>
      <c r="AS6" s="170">
        <f t="shared" ref="AS6:AS17" si="9">+P6/325872</f>
        <v>0</v>
      </c>
      <c r="AT6" s="171">
        <f t="shared" ref="AT6:AT17" si="10">+N6/325872</f>
        <v>0</v>
      </c>
      <c r="AU6" s="170">
        <f t="shared" ref="AU6:AV17" si="11">+Q6/325872</f>
        <v>4.2347915746059801</v>
      </c>
      <c r="AV6" s="170">
        <f t="shared" si="11"/>
        <v>0.82191780821917804</v>
      </c>
      <c r="AW6" s="171">
        <f t="shared" ref="AW6:AW17" si="12">SUM(AU6:AV6)</f>
        <v>5.0567093828251579</v>
      </c>
      <c r="AX6" s="172">
        <f t="shared" ref="AX6:AX17" si="13">SUM(AG6:AV6)</f>
        <v>175.23641184268672</v>
      </c>
      <c r="AY6" s="170">
        <f t="shared" ref="AY6:BC17" si="14">+V6/325872</f>
        <v>0</v>
      </c>
      <c r="AZ6" s="170">
        <f t="shared" si="14"/>
        <v>37.777360435999412</v>
      </c>
      <c r="BA6" s="170">
        <f t="shared" si="14"/>
        <v>89.666715765699422</v>
      </c>
      <c r="BB6" s="170">
        <f t="shared" si="14"/>
        <v>0</v>
      </c>
      <c r="BC6" s="170">
        <f t="shared" si="14"/>
        <v>0</v>
      </c>
      <c r="BD6" s="172">
        <f t="shared" ref="BD6:BD17" si="15">SUM(AY6:BC6)</f>
        <v>127.44407620169883</v>
      </c>
      <c r="BE6" s="173">
        <f t="shared" ref="BE6:BE17" si="16">+BD6+AX6</f>
        <v>302.68048804438558</v>
      </c>
      <c r="BF6" s="136"/>
      <c r="BG6" s="136"/>
      <c r="BH6" s="174">
        <f>+A6</f>
        <v>42005</v>
      </c>
      <c r="BI6" s="175">
        <f t="shared" ref="BI6:BU6" si="17">+B6/(31*1000000)</f>
        <v>3.2606451612903223E-2</v>
      </c>
      <c r="BJ6" s="175">
        <f t="shared" si="17"/>
        <v>0</v>
      </c>
      <c r="BK6" s="175">
        <f t="shared" si="17"/>
        <v>0</v>
      </c>
      <c r="BL6" s="175">
        <f t="shared" si="17"/>
        <v>0.57196774193548383</v>
      </c>
      <c r="BM6" s="175">
        <f t="shared" si="17"/>
        <v>2.0870967741935482E-2</v>
      </c>
      <c r="BN6" s="175">
        <f t="shared" si="17"/>
        <v>0.17112903225806453</v>
      </c>
      <c r="BO6" s="175">
        <f t="shared" si="17"/>
        <v>0.30477419354838708</v>
      </c>
      <c r="BP6" s="175">
        <f t="shared" si="17"/>
        <v>7.8870967741935485E-2</v>
      </c>
      <c r="BQ6" s="175">
        <f t="shared" si="17"/>
        <v>0.30374193548387096</v>
      </c>
      <c r="BR6" s="175">
        <f t="shared" si="17"/>
        <v>0</v>
      </c>
      <c r="BS6" s="175">
        <f t="shared" si="17"/>
        <v>0.10693548387096774</v>
      </c>
      <c r="BT6" s="175">
        <f t="shared" si="17"/>
        <v>0.19803225806451613</v>
      </c>
      <c r="BU6" s="176">
        <f t="shared" si="17"/>
        <v>0</v>
      </c>
      <c r="BV6" s="177">
        <f>+P6/(31*1000000)</f>
        <v>0</v>
      </c>
      <c r="BW6" s="178">
        <f>+Q6/(31*1000000)</f>
        <v>4.4516129032258066E-2</v>
      </c>
      <c r="BX6" s="178">
        <f>+R6/(31*1000000)</f>
        <v>8.6400000000000001E-3</v>
      </c>
      <c r="BY6" s="179">
        <f>SUM(BV6:BX6)</f>
        <v>5.3156129032258068E-2</v>
      </c>
      <c r="BZ6" s="180">
        <f>SUM(BI6:BT6)+BY6</f>
        <v>1.8420851612903224</v>
      </c>
      <c r="CA6" s="177">
        <f>+V6/(31*1000000)</f>
        <v>0</v>
      </c>
      <c r="CB6" s="178">
        <f>+W6/(31*1000000)</f>
        <v>0.39711561290322583</v>
      </c>
      <c r="CC6" s="178">
        <f>+X6/(31*1000000)</f>
        <v>0.94257651612903226</v>
      </c>
      <c r="CD6" s="178">
        <f>+Y6/(31*1000000)</f>
        <v>0</v>
      </c>
      <c r="CE6" s="178">
        <f>+Z6/(31*1000000)</f>
        <v>0</v>
      </c>
      <c r="CF6" s="178">
        <f t="shared" ref="CF6:CF17" si="18">SUM(CA6:CE6)</f>
        <v>1.3396921290322581</v>
      </c>
      <c r="CG6" s="178">
        <f t="shared" ref="CG6:CG19" si="19">+CF6+BZ6</f>
        <v>3.1817772903225805</v>
      </c>
      <c r="CH6" s="179">
        <f t="shared" ref="CH6:CH17" si="20">+CG6/(325872/1000000)</f>
        <v>9.76388671110921</v>
      </c>
      <c r="CI6" s="177">
        <f t="shared" ref="CI6:CI17" si="21">(+BZ6*1000000)/646272</f>
        <v>2.8503248806854118</v>
      </c>
      <c r="CJ6" s="178">
        <f t="shared" ref="CJ6:CK17" si="22">(+CF6*1000000)/646272</f>
        <v>2.0729540023894866</v>
      </c>
      <c r="CK6" s="179">
        <f t="shared" si="22"/>
        <v>4.9232788830748975</v>
      </c>
      <c r="CL6" s="181"/>
    </row>
    <row r="7" spans="1:90" x14ac:dyDescent="0.2">
      <c r="A7" s="160">
        <f t="shared" ref="A7:A17" si="23">31+A6</f>
        <v>42036</v>
      </c>
      <c r="B7" s="161">
        <v>2036900</v>
      </c>
      <c r="C7" s="161">
        <v>0</v>
      </c>
      <c r="D7" s="81">
        <v>0</v>
      </c>
      <c r="E7" s="161">
        <v>13397000</v>
      </c>
      <c r="F7" s="161">
        <v>181000</v>
      </c>
      <c r="G7" s="161">
        <v>4840000</v>
      </c>
      <c r="H7" s="161">
        <v>7972000</v>
      </c>
      <c r="I7" s="161">
        <v>2345000</v>
      </c>
      <c r="J7" s="161">
        <v>5747000</v>
      </c>
      <c r="K7" s="161">
        <v>1077000</v>
      </c>
      <c r="L7" s="161">
        <v>3346000</v>
      </c>
      <c r="M7" s="161">
        <v>5518000</v>
      </c>
      <c r="N7" s="161">
        <v>0</v>
      </c>
      <c r="O7" s="166">
        <f t="shared" si="0"/>
        <v>46459900</v>
      </c>
      <c r="P7" s="163">
        <v>0</v>
      </c>
      <c r="Q7" s="161">
        <v>1260000</v>
      </c>
      <c r="R7" s="161">
        <v>241920</v>
      </c>
      <c r="S7" s="162">
        <f t="shared" si="1"/>
        <v>1501920</v>
      </c>
      <c r="T7" s="164">
        <f t="shared" ref="T7:T19" si="24">+O7+S7</f>
        <v>47961820</v>
      </c>
      <c r="U7" s="165">
        <f t="shared" si="2"/>
        <v>147.17993568026711</v>
      </c>
      <c r="V7" s="161">
        <v>0</v>
      </c>
      <c r="W7" s="161">
        <v>10456292</v>
      </c>
      <c r="X7" s="161">
        <v>27673008</v>
      </c>
      <c r="Y7" s="161">
        <v>0</v>
      </c>
      <c r="Z7" s="161">
        <v>769692</v>
      </c>
      <c r="AA7" s="305">
        <f t="shared" si="3"/>
        <v>38898992</v>
      </c>
      <c r="AB7" s="165">
        <f t="shared" si="4"/>
        <v>119.3689301320764</v>
      </c>
      <c r="AC7" s="161">
        <f t="shared" si="5"/>
        <v>86860812</v>
      </c>
      <c r="AD7" s="167">
        <f t="shared" si="6"/>
        <v>266.54886581234348</v>
      </c>
      <c r="AE7" s="168"/>
      <c r="AF7" s="110">
        <f t="shared" si="7"/>
        <v>42036</v>
      </c>
      <c r="AG7" s="169">
        <f t="shared" si="8"/>
        <v>6.2506137379093634</v>
      </c>
      <c r="AH7" s="170">
        <f t="shared" si="8"/>
        <v>0</v>
      </c>
      <c r="AI7" s="170">
        <f t="shared" si="8"/>
        <v>0</v>
      </c>
      <c r="AJ7" s="170">
        <f t="shared" si="8"/>
        <v>41.111233858692984</v>
      </c>
      <c r="AK7" s="170">
        <f t="shared" si="8"/>
        <v>0.55543280797368288</v>
      </c>
      <c r="AL7" s="170">
        <f t="shared" si="8"/>
        <v>14.852457406589091</v>
      </c>
      <c r="AM7" s="170">
        <f t="shared" si="8"/>
        <v>24.463593067216575</v>
      </c>
      <c r="AN7" s="170">
        <f t="shared" si="8"/>
        <v>7.1960769872833508</v>
      </c>
      <c r="AO7" s="170">
        <f t="shared" si="8"/>
        <v>17.635758825551136</v>
      </c>
      <c r="AP7" s="170">
        <f t="shared" si="8"/>
        <v>3.3049786419207541</v>
      </c>
      <c r="AQ7" s="170">
        <f t="shared" si="8"/>
        <v>10.267835223646093</v>
      </c>
      <c r="AR7" s="170">
        <f t="shared" si="8"/>
        <v>16.93302891933029</v>
      </c>
      <c r="AS7" s="170">
        <f>+P7/325872</f>
        <v>0</v>
      </c>
      <c r="AT7" s="171">
        <f>+N7/325872</f>
        <v>0</v>
      </c>
      <c r="AU7" s="170">
        <f t="shared" si="11"/>
        <v>3.8665488289880687</v>
      </c>
      <c r="AV7" s="170">
        <f t="shared" si="11"/>
        <v>0.74237737516570923</v>
      </c>
      <c r="AW7" s="171">
        <f t="shared" si="12"/>
        <v>4.6089262041537777</v>
      </c>
      <c r="AX7" s="172">
        <f t="shared" si="13"/>
        <v>147.17993568026711</v>
      </c>
      <c r="AY7" s="170">
        <f t="shared" si="14"/>
        <v>0</v>
      </c>
      <c r="AZ7" s="170">
        <f t="shared" si="14"/>
        <v>32.087113958855014</v>
      </c>
      <c r="BA7" s="170">
        <f t="shared" si="14"/>
        <v>84.91987037855354</v>
      </c>
      <c r="BB7" s="170">
        <f t="shared" si="14"/>
        <v>0</v>
      </c>
      <c r="BC7" s="170">
        <f t="shared" si="14"/>
        <v>2.3619457946678448</v>
      </c>
      <c r="BD7" s="172">
        <f t="shared" si="15"/>
        <v>119.3689301320764</v>
      </c>
      <c r="BE7" s="173">
        <f t="shared" si="16"/>
        <v>266.54886581234348</v>
      </c>
      <c r="BF7" s="136"/>
      <c r="BG7" s="136"/>
      <c r="BH7" s="182">
        <f t="shared" ref="BH7:BH17" si="25">31+BH6</f>
        <v>42036</v>
      </c>
      <c r="BI7" s="183">
        <f t="shared" ref="BI7:BU7" si="26">+B7/(28*1000000)</f>
        <v>7.2746428571428573E-2</v>
      </c>
      <c r="BJ7" s="183">
        <f t="shared" si="26"/>
        <v>0</v>
      </c>
      <c r="BK7" s="183">
        <f t="shared" si="26"/>
        <v>0</v>
      </c>
      <c r="BL7" s="183">
        <f t="shared" si="26"/>
        <v>0.47846428571428573</v>
      </c>
      <c r="BM7" s="183">
        <f t="shared" si="26"/>
        <v>6.4642857142857141E-3</v>
      </c>
      <c r="BN7" s="183">
        <f t="shared" si="26"/>
        <v>0.17285714285714285</v>
      </c>
      <c r="BO7" s="183">
        <f t="shared" si="26"/>
        <v>0.2847142857142857</v>
      </c>
      <c r="BP7" s="183">
        <f t="shared" si="26"/>
        <v>8.3750000000000005E-2</v>
      </c>
      <c r="BQ7" s="183">
        <f t="shared" si="26"/>
        <v>0.20524999999999999</v>
      </c>
      <c r="BR7" s="183">
        <f t="shared" si="26"/>
        <v>3.8464285714285715E-2</v>
      </c>
      <c r="BS7" s="183">
        <f t="shared" si="26"/>
        <v>0.1195</v>
      </c>
      <c r="BT7" s="183">
        <f t="shared" si="26"/>
        <v>0.19707142857142856</v>
      </c>
      <c r="BU7" s="183">
        <f t="shared" si="26"/>
        <v>0</v>
      </c>
      <c r="BV7" s="184">
        <f>+P7/(28*1000000)</f>
        <v>0</v>
      </c>
      <c r="BW7" s="183">
        <f>+Q7/(28*1000000)</f>
        <v>4.4999999999999998E-2</v>
      </c>
      <c r="BX7" s="183">
        <f>+R7/(28*1000000)</f>
        <v>8.6400000000000001E-3</v>
      </c>
      <c r="BY7" s="185">
        <f>SUM(BV7:BX7)</f>
        <v>5.364E-2</v>
      </c>
      <c r="BZ7" s="180">
        <f t="shared" ref="BZ7:BZ17" si="27">SUM(BI7:BT7)+BY7</f>
        <v>1.7129221428571424</v>
      </c>
      <c r="CA7" s="184">
        <f>+V7/(28*1000000)</f>
        <v>0</v>
      </c>
      <c r="CB7" s="183">
        <f>+W7/(28*1000000)</f>
        <v>0.37343900000000002</v>
      </c>
      <c r="CC7" s="183">
        <f>+X7/(28*1000000)</f>
        <v>0.98832171428571425</v>
      </c>
      <c r="CD7" s="183">
        <f>+Y7/(28*1000000)</f>
        <v>0</v>
      </c>
      <c r="CE7" s="183">
        <f>+Z7/(28*1000000)</f>
        <v>2.7489E-2</v>
      </c>
      <c r="CF7" s="183">
        <f t="shared" si="18"/>
        <v>1.3892497142857143</v>
      </c>
      <c r="CG7" s="183">
        <f t="shared" si="19"/>
        <v>3.1021718571428565</v>
      </c>
      <c r="CH7" s="185">
        <f t="shared" si="20"/>
        <v>9.519602350440838</v>
      </c>
      <c r="CI7" s="184">
        <f t="shared" si="21"/>
        <v>2.6504662786831901</v>
      </c>
      <c r="CJ7" s="183">
        <f t="shared" si="22"/>
        <v>2.1496362433862433</v>
      </c>
      <c r="CK7" s="185">
        <f t="shared" si="22"/>
        <v>4.8001025220694329</v>
      </c>
      <c r="CL7" s="181"/>
    </row>
    <row r="8" spans="1:90" x14ac:dyDescent="0.2">
      <c r="A8" s="160">
        <f t="shared" si="23"/>
        <v>42067</v>
      </c>
      <c r="B8" s="161">
        <v>1844400</v>
      </c>
      <c r="C8" s="161">
        <v>0</v>
      </c>
      <c r="D8" s="186">
        <v>0</v>
      </c>
      <c r="E8" s="161">
        <v>18490000</v>
      </c>
      <c r="F8" s="161">
        <v>1489000</v>
      </c>
      <c r="G8" s="161">
        <v>8078000</v>
      </c>
      <c r="H8" s="161">
        <v>8446000</v>
      </c>
      <c r="I8" s="161">
        <v>3798000</v>
      </c>
      <c r="J8" s="161">
        <v>6945000</v>
      </c>
      <c r="K8" s="161">
        <v>3855000</v>
      </c>
      <c r="L8" s="161">
        <v>1350000</v>
      </c>
      <c r="M8" s="161">
        <v>5649000</v>
      </c>
      <c r="N8" s="161">
        <v>0</v>
      </c>
      <c r="O8" s="166">
        <f t="shared" si="0"/>
        <v>59944400</v>
      </c>
      <c r="P8" s="188">
        <v>0</v>
      </c>
      <c r="Q8" s="161">
        <v>1358000</v>
      </c>
      <c r="R8" s="161">
        <v>250000</v>
      </c>
      <c r="S8" s="187">
        <f t="shared" si="1"/>
        <v>1608000</v>
      </c>
      <c r="T8" s="189">
        <f t="shared" si="24"/>
        <v>61552400</v>
      </c>
      <c r="U8" s="190">
        <f t="shared" si="2"/>
        <v>188.88520646143272</v>
      </c>
      <c r="V8" s="161">
        <v>0</v>
      </c>
      <c r="W8" s="161">
        <v>18663000</v>
      </c>
      <c r="X8" s="161">
        <v>30300750</v>
      </c>
      <c r="Y8" s="161">
        <v>0</v>
      </c>
      <c r="Z8" s="161">
        <v>0</v>
      </c>
      <c r="AA8" s="305">
        <f t="shared" si="3"/>
        <v>48963750</v>
      </c>
      <c r="AB8" s="165">
        <f t="shared" si="4"/>
        <v>150.25454779790837</v>
      </c>
      <c r="AC8" s="161">
        <f t="shared" si="5"/>
        <v>110516150</v>
      </c>
      <c r="AD8" s="167">
        <f t="shared" si="6"/>
        <v>339.13975425934109</v>
      </c>
      <c r="AE8" s="168"/>
      <c r="AF8" s="110">
        <f t="shared" si="7"/>
        <v>42067</v>
      </c>
      <c r="AG8" s="169">
        <f t="shared" si="8"/>
        <v>5.6598910001472973</v>
      </c>
      <c r="AH8" s="170">
        <f t="shared" si="8"/>
        <v>0</v>
      </c>
      <c r="AI8" s="170">
        <f t="shared" si="8"/>
        <v>0</v>
      </c>
      <c r="AJ8" s="170">
        <f t="shared" si="8"/>
        <v>56.740069720626501</v>
      </c>
      <c r="AK8" s="170">
        <f t="shared" si="8"/>
        <v>4.5692787352089166</v>
      </c>
      <c r="AL8" s="170">
        <f t="shared" si="8"/>
        <v>24.788874159179063</v>
      </c>
      <c r="AM8" s="170">
        <f t="shared" si="8"/>
        <v>25.918151912407325</v>
      </c>
      <c r="AN8" s="170">
        <f t="shared" si="8"/>
        <v>11.654882898806893</v>
      </c>
      <c r="AO8" s="170">
        <f t="shared" si="8"/>
        <v>21.312048902636619</v>
      </c>
      <c r="AP8" s="170">
        <f t="shared" si="8"/>
        <v>11.829798202975402</v>
      </c>
      <c r="AQ8" s="170">
        <f t="shared" si="8"/>
        <v>4.1427308882015028</v>
      </c>
      <c r="AR8" s="170">
        <f t="shared" si="8"/>
        <v>17.335027249963176</v>
      </c>
      <c r="AS8" s="170">
        <f t="shared" si="9"/>
        <v>0</v>
      </c>
      <c r="AT8" s="171">
        <f t="shared" si="10"/>
        <v>0</v>
      </c>
      <c r="AU8" s="170">
        <f t="shared" si="11"/>
        <v>4.1672804045760294</v>
      </c>
      <c r="AV8" s="170">
        <f t="shared" si="11"/>
        <v>0.76717238670398191</v>
      </c>
      <c r="AW8" s="171">
        <f t="shared" si="12"/>
        <v>4.9344527912800116</v>
      </c>
      <c r="AX8" s="172">
        <f t="shared" si="13"/>
        <v>188.88520646143266</v>
      </c>
      <c r="AY8" s="170">
        <f t="shared" si="14"/>
        <v>0</v>
      </c>
      <c r="AZ8" s="170">
        <f t="shared" si="14"/>
        <v>57.270953012225661</v>
      </c>
      <c r="BA8" s="170">
        <f t="shared" si="14"/>
        <v>92.983594785682726</v>
      </c>
      <c r="BB8" s="170">
        <f t="shared" si="14"/>
        <v>0</v>
      </c>
      <c r="BC8" s="170">
        <f t="shared" si="14"/>
        <v>0</v>
      </c>
      <c r="BD8" s="172">
        <f t="shared" si="15"/>
        <v>150.2545477979084</v>
      </c>
      <c r="BE8" s="173">
        <f t="shared" si="16"/>
        <v>339.13975425934109</v>
      </c>
      <c r="BF8" s="136"/>
      <c r="BG8" s="136"/>
      <c r="BH8" s="182">
        <f t="shared" si="25"/>
        <v>42067</v>
      </c>
      <c r="BI8" s="183">
        <f t="shared" ref="BI8:BU8" si="28">+B8/(31*1000000)</f>
        <v>5.9496774193548388E-2</v>
      </c>
      <c r="BJ8" s="183">
        <f t="shared" si="28"/>
        <v>0</v>
      </c>
      <c r="BK8" s="183">
        <f t="shared" si="28"/>
        <v>0</v>
      </c>
      <c r="BL8" s="183">
        <f t="shared" si="28"/>
        <v>0.59645161290322579</v>
      </c>
      <c r="BM8" s="183">
        <f t="shared" si="28"/>
        <v>4.803225806451613E-2</v>
      </c>
      <c r="BN8" s="183">
        <f t="shared" si="28"/>
        <v>0.26058064516129031</v>
      </c>
      <c r="BO8" s="183">
        <f t="shared" si="28"/>
        <v>0.27245161290322578</v>
      </c>
      <c r="BP8" s="183">
        <f t="shared" si="28"/>
        <v>0.12251612903225806</v>
      </c>
      <c r="BQ8" s="183">
        <f t="shared" si="28"/>
        <v>0.22403225806451613</v>
      </c>
      <c r="BR8" s="183">
        <f t="shared" si="28"/>
        <v>0.12435483870967742</v>
      </c>
      <c r="BS8" s="183">
        <f t="shared" si="28"/>
        <v>4.3548387096774194E-2</v>
      </c>
      <c r="BT8" s="183">
        <f t="shared" si="28"/>
        <v>0.1822258064516129</v>
      </c>
      <c r="BU8" s="185">
        <f t="shared" si="28"/>
        <v>0</v>
      </c>
      <c r="BV8" s="184">
        <f>+P8/(31*1000000)</f>
        <v>0</v>
      </c>
      <c r="BW8" s="183">
        <f>+Q8/(31*1000000)</f>
        <v>4.3806451612903224E-2</v>
      </c>
      <c r="BX8" s="183">
        <f>+R8/(31*1000000)</f>
        <v>8.0645161290322578E-3</v>
      </c>
      <c r="BY8" s="185">
        <f>SUM(BV8:BX8)</f>
        <v>5.1870967741935482E-2</v>
      </c>
      <c r="BZ8" s="180">
        <f t="shared" si="27"/>
        <v>1.9855612903225806</v>
      </c>
      <c r="CA8" s="184">
        <f>+V8/(31*1000000)</f>
        <v>0</v>
      </c>
      <c r="CB8" s="183">
        <f>+W8/(31*1000000)</f>
        <v>0.6020322580645161</v>
      </c>
      <c r="CC8" s="183">
        <f>+X8/(31*1000000)</f>
        <v>0.97744354838709679</v>
      </c>
      <c r="CD8" s="183">
        <f>+Y8/(31*1000000)</f>
        <v>0</v>
      </c>
      <c r="CE8" s="183">
        <f>+Z8/(31*1000000)</f>
        <v>0</v>
      </c>
      <c r="CF8" s="183">
        <f t="shared" si="18"/>
        <v>1.579475806451613</v>
      </c>
      <c r="CG8" s="183">
        <f t="shared" si="19"/>
        <v>3.5650370967741933</v>
      </c>
      <c r="CH8" s="185">
        <f t="shared" si="20"/>
        <v>10.939992072881971</v>
      </c>
      <c r="CI8" s="184">
        <f t="shared" si="21"/>
        <v>3.0723306755090434</v>
      </c>
      <c r="CJ8" s="183">
        <f t="shared" si="22"/>
        <v>2.4439799441281891</v>
      </c>
      <c r="CK8" s="185">
        <f t="shared" si="22"/>
        <v>5.516310619637232</v>
      </c>
      <c r="CL8" s="181"/>
    </row>
    <row r="9" spans="1:90" x14ac:dyDescent="0.2">
      <c r="A9" s="160">
        <f t="shared" si="23"/>
        <v>42098</v>
      </c>
      <c r="B9" s="161">
        <v>1425700</v>
      </c>
      <c r="C9" s="161">
        <v>0</v>
      </c>
      <c r="D9" s="161">
        <v>0</v>
      </c>
      <c r="E9" s="161">
        <v>17261000</v>
      </c>
      <c r="F9" s="161">
        <v>14000</v>
      </c>
      <c r="G9" s="161">
        <v>7535000</v>
      </c>
      <c r="H9" s="161">
        <v>7433000</v>
      </c>
      <c r="I9" s="161">
        <v>3535000</v>
      </c>
      <c r="J9" s="161">
        <v>6130992</v>
      </c>
      <c r="K9" s="161">
        <v>4195000</v>
      </c>
      <c r="L9" s="161">
        <v>3854000</v>
      </c>
      <c r="M9" s="161">
        <v>5061000</v>
      </c>
      <c r="N9" s="161">
        <v>0</v>
      </c>
      <c r="O9" s="166">
        <f t="shared" si="0"/>
        <v>56444692</v>
      </c>
      <c r="P9" s="163">
        <v>0</v>
      </c>
      <c r="Q9" s="161">
        <v>1327000</v>
      </c>
      <c r="R9" s="161">
        <v>250000</v>
      </c>
      <c r="S9" s="162">
        <f t="shared" si="1"/>
        <v>1577000</v>
      </c>
      <c r="T9" s="164">
        <f t="shared" si="24"/>
        <v>58021692</v>
      </c>
      <c r="U9" s="165">
        <f t="shared" si="2"/>
        <v>178.05055972897333</v>
      </c>
      <c r="V9" s="161">
        <v>0</v>
      </c>
      <c r="W9" s="161">
        <v>17994000</v>
      </c>
      <c r="X9" s="161">
        <v>28398000</v>
      </c>
      <c r="Y9" s="161">
        <v>0</v>
      </c>
      <c r="Z9" s="161">
        <v>0</v>
      </c>
      <c r="AA9" s="305">
        <f t="shared" si="3"/>
        <v>46392000</v>
      </c>
      <c r="AB9" s="165">
        <f t="shared" si="4"/>
        <v>142.36264545588452</v>
      </c>
      <c r="AC9" s="161">
        <f t="shared" si="5"/>
        <v>104413692</v>
      </c>
      <c r="AD9" s="167">
        <f t="shared" si="6"/>
        <v>320.41320518485787</v>
      </c>
      <c r="AE9" s="168"/>
      <c r="AF9" s="110">
        <f t="shared" si="7"/>
        <v>42098</v>
      </c>
      <c r="AG9" s="169">
        <f t="shared" si="8"/>
        <v>4.3750306868954683</v>
      </c>
      <c r="AH9" s="170">
        <f t="shared" si="8"/>
        <v>0</v>
      </c>
      <c r="AI9" s="170">
        <f t="shared" si="8"/>
        <v>0</v>
      </c>
      <c r="AJ9" s="170">
        <f t="shared" si="8"/>
        <v>52.96865026758973</v>
      </c>
      <c r="AK9" s="170">
        <f t="shared" si="8"/>
        <v>4.2961653655422989E-2</v>
      </c>
      <c r="AL9" s="170">
        <f t="shared" si="8"/>
        <v>23.122575735258014</v>
      </c>
      <c r="AM9" s="170">
        <f t="shared" si="8"/>
        <v>22.80956940148279</v>
      </c>
      <c r="AN9" s="170">
        <f t="shared" si="8"/>
        <v>10.847817547994305</v>
      </c>
      <c r="AO9" s="170">
        <f t="shared" si="8"/>
        <v>18.814111062012078</v>
      </c>
      <c r="AP9" s="170">
        <f t="shared" si="8"/>
        <v>12.873152648892816</v>
      </c>
      <c r="AQ9" s="170">
        <f t="shared" si="8"/>
        <v>11.826729513428585</v>
      </c>
      <c r="AR9" s="170">
        <f t="shared" si="8"/>
        <v>15.530637796435411</v>
      </c>
      <c r="AS9" s="170">
        <f t="shared" si="9"/>
        <v>0</v>
      </c>
      <c r="AT9" s="171">
        <f t="shared" si="10"/>
        <v>0</v>
      </c>
      <c r="AU9" s="170">
        <f t="shared" si="11"/>
        <v>4.0721510286247362</v>
      </c>
      <c r="AV9" s="170">
        <f t="shared" si="11"/>
        <v>0.76717238670398191</v>
      </c>
      <c r="AW9" s="171">
        <f t="shared" si="12"/>
        <v>4.8393234153287183</v>
      </c>
      <c r="AX9" s="172">
        <f t="shared" si="13"/>
        <v>178.05055972897333</v>
      </c>
      <c r="AY9" s="170">
        <f t="shared" si="14"/>
        <v>0</v>
      </c>
      <c r="AZ9" s="170">
        <f t="shared" si="14"/>
        <v>55.217999705405802</v>
      </c>
      <c r="BA9" s="170">
        <f t="shared" si="14"/>
        <v>87.144645750478716</v>
      </c>
      <c r="BB9" s="170">
        <f t="shared" si="14"/>
        <v>0</v>
      </c>
      <c r="BC9" s="170">
        <f t="shared" si="14"/>
        <v>0</v>
      </c>
      <c r="BD9" s="172">
        <f t="shared" si="15"/>
        <v>142.36264545588452</v>
      </c>
      <c r="BE9" s="173">
        <f t="shared" si="16"/>
        <v>320.41320518485782</v>
      </c>
      <c r="BF9" s="136"/>
      <c r="BG9" s="136"/>
      <c r="BH9" s="182">
        <f t="shared" si="25"/>
        <v>42098</v>
      </c>
      <c r="BI9" s="183">
        <f t="shared" ref="BI9:BU9" si="29">+B9/(30*1000000)</f>
        <v>4.7523333333333334E-2</v>
      </c>
      <c r="BJ9" s="183">
        <f t="shared" si="29"/>
        <v>0</v>
      </c>
      <c r="BK9" s="183">
        <f t="shared" si="29"/>
        <v>0</v>
      </c>
      <c r="BL9" s="183">
        <f t="shared" si="29"/>
        <v>0.57536666666666669</v>
      </c>
      <c r="BM9" s="183">
        <f t="shared" si="29"/>
        <v>4.6666666666666666E-4</v>
      </c>
      <c r="BN9" s="183">
        <f t="shared" si="29"/>
        <v>0.25116666666666665</v>
      </c>
      <c r="BO9" s="183">
        <f t="shared" si="29"/>
        <v>0.24776666666666666</v>
      </c>
      <c r="BP9" s="183">
        <f t="shared" si="29"/>
        <v>0.11783333333333333</v>
      </c>
      <c r="BQ9" s="183">
        <f t="shared" si="29"/>
        <v>0.2043664</v>
      </c>
      <c r="BR9" s="183">
        <f t="shared" si="29"/>
        <v>0.13983333333333334</v>
      </c>
      <c r="BS9" s="183">
        <f t="shared" si="29"/>
        <v>0.12846666666666667</v>
      </c>
      <c r="BT9" s="183">
        <f t="shared" si="29"/>
        <v>0.16869999999999999</v>
      </c>
      <c r="BU9" s="185">
        <f t="shared" si="29"/>
        <v>0</v>
      </c>
      <c r="BV9" s="184">
        <f>+P9/(30*1000000)</f>
        <v>0</v>
      </c>
      <c r="BW9" s="183">
        <f>+Q9/(30*1000000)</f>
        <v>4.4233333333333333E-2</v>
      </c>
      <c r="BX9" s="183">
        <f>+R9/(30*1000000)</f>
        <v>8.3333333333333332E-3</v>
      </c>
      <c r="BY9" s="185">
        <f>SUM(BV9:BX9)</f>
        <v>5.2566666666666664E-2</v>
      </c>
      <c r="BZ9" s="180">
        <f t="shared" si="27"/>
        <v>1.9340564</v>
      </c>
      <c r="CA9" s="184">
        <f>+V9/(30*1000000)</f>
        <v>0</v>
      </c>
      <c r="CB9" s="183">
        <f>+W9/(30*1000000)</f>
        <v>0.5998</v>
      </c>
      <c r="CC9" s="183">
        <f>+X9/(30*1000000)</f>
        <v>0.9466</v>
      </c>
      <c r="CD9" s="183">
        <f>+Y9/(30*1000000)</f>
        <v>0</v>
      </c>
      <c r="CE9" s="183">
        <f>+Z9/(30*1000000)</f>
        <v>0</v>
      </c>
      <c r="CF9" s="183">
        <f t="shared" si="18"/>
        <v>1.5464</v>
      </c>
      <c r="CG9" s="183">
        <f t="shared" si="19"/>
        <v>3.4804564</v>
      </c>
      <c r="CH9" s="185">
        <f t="shared" si="20"/>
        <v>10.680440172828595</v>
      </c>
      <c r="CI9" s="184">
        <f t="shared" si="21"/>
        <v>2.9926352990691223</v>
      </c>
      <c r="CJ9" s="183">
        <f t="shared" si="22"/>
        <v>2.3928005545652606</v>
      </c>
      <c r="CK9" s="185">
        <f t="shared" si="22"/>
        <v>5.3854358536343829</v>
      </c>
      <c r="CL9" s="181"/>
    </row>
    <row r="10" spans="1:90" x14ac:dyDescent="0.2">
      <c r="A10" s="160">
        <f t="shared" si="23"/>
        <v>42129</v>
      </c>
      <c r="B10" s="161">
        <v>1270400</v>
      </c>
      <c r="C10" s="161">
        <v>0</v>
      </c>
      <c r="D10" s="161">
        <v>0</v>
      </c>
      <c r="E10" s="161">
        <v>17140000</v>
      </c>
      <c r="F10" s="161">
        <v>253700</v>
      </c>
      <c r="G10" s="161">
        <v>4669000</v>
      </c>
      <c r="H10" s="161">
        <v>6981000</v>
      </c>
      <c r="I10" s="161">
        <v>1688000</v>
      </c>
      <c r="J10" s="161">
        <v>3656310</v>
      </c>
      <c r="K10" s="161">
        <v>4159000</v>
      </c>
      <c r="L10" s="161">
        <v>4042000</v>
      </c>
      <c r="M10" s="161">
        <v>4006000</v>
      </c>
      <c r="N10" s="161">
        <v>0</v>
      </c>
      <c r="O10" s="166">
        <f t="shared" si="0"/>
        <v>47865410</v>
      </c>
      <c r="P10" s="163">
        <v>0</v>
      </c>
      <c r="Q10" s="161">
        <v>1363000</v>
      </c>
      <c r="R10" s="161">
        <v>250000</v>
      </c>
      <c r="S10" s="162">
        <f t="shared" si="1"/>
        <v>1613000</v>
      </c>
      <c r="T10" s="164">
        <f t="shared" si="24"/>
        <v>49478410</v>
      </c>
      <c r="U10" s="165">
        <f>+T10/325872</f>
        <v>151.83387956007266</v>
      </c>
      <c r="V10" s="161">
        <v>0</v>
      </c>
      <c r="W10" s="161">
        <v>11024024</v>
      </c>
      <c r="X10" s="161">
        <v>33305448</v>
      </c>
      <c r="Y10" s="161">
        <v>0</v>
      </c>
      <c r="Z10" s="161">
        <v>0</v>
      </c>
      <c r="AA10" s="305">
        <f t="shared" si="3"/>
        <v>44329472</v>
      </c>
      <c r="AB10" s="165">
        <f t="shared" si="4"/>
        <v>136.03338734226935</v>
      </c>
      <c r="AC10" s="161">
        <f t="shared" si="5"/>
        <v>93807882</v>
      </c>
      <c r="AD10" s="167">
        <f t="shared" si="6"/>
        <v>287.86726690234201</v>
      </c>
      <c r="AE10" s="168"/>
      <c r="AF10" s="110">
        <f t="shared" si="7"/>
        <v>42129</v>
      </c>
      <c r="AG10" s="169">
        <f t="shared" si="8"/>
        <v>3.8984632002749544</v>
      </c>
      <c r="AH10" s="170">
        <f t="shared" si="8"/>
        <v>0</v>
      </c>
      <c r="AI10" s="170">
        <f t="shared" si="8"/>
        <v>0</v>
      </c>
      <c r="AJ10" s="170">
        <f t="shared" si="8"/>
        <v>52.597338832425002</v>
      </c>
      <c r="AK10" s="170">
        <f t="shared" si="8"/>
        <v>0.77852653802720084</v>
      </c>
      <c r="AL10" s="170">
        <f t="shared" si="8"/>
        <v>14.327711494083566</v>
      </c>
      <c r="AM10" s="170">
        <f t="shared" si="8"/>
        <v>21.422521726321992</v>
      </c>
      <c r="AN10" s="170">
        <f t="shared" si="8"/>
        <v>5.1799479550252858</v>
      </c>
      <c r="AO10" s="170">
        <f t="shared" si="8"/>
        <v>11.220080276918544</v>
      </c>
      <c r="AP10" s="170">
        <f t="shared" si="8"/>
        <v>12.762679825207444</v>
      </c>
      <c r="AQ10" s="170">
        <f t="shared" si="8"/>
        <v>12.40364314822998</v>
      </c>
      <c r="AR10" s="170">
        <f t="shared" si="8"/>
        <v>12.293170324544606</v>
      </c>
      <c r="AS10" s="170">
        <f t="shared" si="9"/>
        <v>0</v>
      </c>
      <c r="AT10" s="171">
        <f t="shared" si="10"/>
        <v>0</v>
      </c>
      <c r="AU10" s="170">
        <f t="shared" si="11"/>
        <v>4.1826238523101091</v>
      </c>
      <c r="AV10" s="170">
        <f t="shared" si="11"/>
        <v>0.76717238670398191</v>
      </c>
      <c r="AW10" s="171">
        <f t="shared" si="12"/>
        <v>4.9497962390140913</v>
      </c>
      <c r="AX10" s="172">
        <f t="shared" si="13"/>
        <v>151.83387956007266</v>
      </c>
      <c r="AY10" s="170">
        <f t="shared" si="14"/>
        <v>0</v>
      </c>
      <c r="AZ10" s="170">
        <f t="shared" si="14"/>
        <v>33.829307212647912</v>
      </c>
      <c r="BA10" s="170">
        <f t="shared" si="14"/>
        <v>102.20408012962145</v>
      </c>
      <c r="BB10" s="170">
        <f t="shared" si="14"/>
        <v>0</v>
      </c>
      <c r="BC10" s="170">
        <f t="shared" si="14"/>
        <v>0</v>
      </c>
      <c r="BD10" s="172">
        <f t="shared" si="15"/>
        <v>136.03338734226935</v>
      </c>
      <c r="BE10" s="173">
        <f t="shared" si="16"/>
        <v>287.86726690234201</v>
      </c>
      <c r="BF10" s="136"/>
      <c r="BG10" s="136"/>
      <c r="BH10" s="182">
        <f t="shared" si="25"/>
        <v>42129</v>
      </c>
      <c r="BI10" s="183">
        <f t="shared" ref="BI10:BU10" si="30">+B10/(31*1000000)</f>
        <v>4.0980645161290324E-2</v>
      </c>
      <c r="BJ10" s="183">
        <f t="shared" si="30"/>
        <v>0</v>
      </c>
      <c r="BK10" s="183">
        <f t="shared" si="30"/>
        <v>0</v>
      </c>
      <c r="BL10" s="183">
        <f t="shared" si="30"/>
        <v>0.55290322580645157</v>
      </c>
      <c r="BM10" s="183">
        <f t="shared" si="30"/>
        <v>8.1838709677419363E-3</v>
      </c>
      <c r="BN10" s="183">
        <f t="shared" si="30"/>
        <v>0.15061290322580645</v>
      </c>
      <c r="BO10" s="183">
        <f t="shared" si="30"/>
        <v>0.22519354838709676</v>
      </c>
      <c r="BP10" s="183">
        <f t="shared" si="30"/>
        <v>5.4451612903225803E-2</v>
      </c>
      <c r="BQ10" s="183">
        <f t="shared" si="30"/>
        <v>0.11794548387096775</v>
      </c>
      <c r="BR10" s="183">
        <f t="shared" si="30"/>
        <v>0.13416129032258065</v>
      </c>
      <c r="BS10" s="183">
        <f t="shared" si="30"/>
        <v>0.13038709677419355</v>
      </c>
      <c r="BT10" s="183">
        <f t="shared" si="30"/>
        <v>0.12922580645161291</v>
      </c>
      <c r="BU10" s="185">
        <f t="shared" si="30"/>
        <v>0</v>
      </c>
      <c r="BV10" s="184">
        <f>+P10/(31*1000000)</f>
        <v>0</v>
      </c>
      <c r="BW10" s="183">
        <f>+Q10/(31*1000000)</f>
        <v>4.3967741935483869E-2</v>
      </c>
      <c r="BX10" s="183">
        <f>+R10/(31*1000000)</f>
        <v>8.0645161290322578E-3</v>
      </c>
      <c r="BY10" s="185">
        <f>SUM(BV10:BX10)</f>
        <v>5.2032258064516126E-2</v>
      </c>
      <c r="BZ10" s="180">
        <f t="shared" si="27"/>
        <v>1.5960777419354837</v>
      </c>
      <c r="CA10" s="184">
        <f>+V10/(31*1000000)</f>
        <v>0</v>
      </c>
      <c r="CB10" s="183">
        <f>+W10/(31*1000000)</f>
        <v>0.35561367741935485</v>
      </c>
      <c r="CC10" s="183">
        <f>+X10/(31*1000000)</f>
        <v>1.0743692903225806</v>
      </c>
      <c r="CD10" s="183">
        <f>+Y10/(31*1000000)</f>
        <v>0</v>
      </c>
      <c r="CE10" s="183">
        <f>+Z10/(31*1000000)</f>
        <v>0</v>
      </c>
      <c r="CF10" s="183">
        <f t="shared" si="18"/>
        <v>1.4299829677419353</v>
      </c>
      <c r="CG10" s="183">
        <f t="shared" si="19"/>
        <v>3.0260607096774192</v>
      </c>
      <c r="CH10" s="185">
        <f t="shared" si="20"/>
        <v>9.2860408678174853</v>
      </c>
      <c r="CI10" s="184">
        <f t="shared" si="21"/>
        <v>2.469668718334515</v>
      </c>
      <c r="CJ10" s="183">
        <f t="shared" si="22"/>
        <v>2.2126642771804059</v>
      </c>
      <c r="CK10" s="185">
        <f t="shared" si="22"/>
        <v>4.6823329955149209</v>
      </c>
      <c r="CL10" s="181"/>
    </row>
    <row r="11" spans="1:90" x14ac:dyDescent="0.2">
      <c r="A11" s="160">
        <f t="shared" si="23"/>
        <v>42160</v>
      </c>
      <c r="B11" s="161">
        <v>1897500</v>
      </c>
      <c r="C11" s="161">
        <v>0</v>
      </c>
      <c r="D11" s="161">
        <v>0</v>
      </c>
      <c r="E11" s="161">
        <v>16815000</v>
      </c>
      <c r="F11" s="161">
        <v>51300</v>
      </c>
      <c r="G11" s="161">
        <v>6007000</v>
      </c>
      <c r="H11" s="161">
        <v>6377000</v>
      </c>
      <c r="I11" s="161">
        <v>2444000</v>
      </c>
      <c r="J11" s="161">
        <v>4984000</v>
      </c>
      <c r="K11" s="161">
        <v>3963000</v>
      </c>
      <c r="L11" s="161">
        <v>3690000</v>
      </c>
      <c r="M11" s="161">
        <v>4052000</v>
      </c>
      <c r="N11" s="161">
        <v>0</v>
      </c>
      <c r="O11" s="166">
        <f t="shared" si="0"/>
        <v>50280800</v>
      </c>
      <c r="P11" s="163">
        <v>0</v>
      </c>
      <c r="Q11" s="161">
        <v>1292000</v>
      </c>
      <c r="R11" s="161">
        <v>259200</v>
      </c>
      <c r="S11" s="162">
        <f t="shared" si="1"/>
        <v>1551200</v>
      </c>
      <c r="T11" s="164">
        <f t="shared" si="24"/>
        <v>51832000</v>
      </c>
      <c r="U11" s="165">
        <f t="shared" si="2"/>
        <v>159.05631659056317</v>
      </c>
      <c r="V11" s="161">
        <v>5250</v>
      </c>
      <c r="W11" s="161">
        <v>13739250</v>
      </c>
      <c r="X11" s="161">
        <v>36447000</v>
      </c>
      <c r="Y11" s="161">
        <v>0</v>
      </c>
      <c r="Z11" s="161">
        <v>0</v>
      </c>
      <c r="AA11" s="305">
        <f t="shared" si="3"/>
        <v>50191500</v>
      </c>
      <c r="AB11" s="165">
        <f t="shared" si="4"/>
        <v>154.02213138901163</v>
      </c>
      <c r="AC11" s="161">
        <f t="shared" si="5"/>
        <v>102023500</v>
      </c>
      <c r="AD11" s="167">
        <f t="shared" si="6"/>
        <v>313.07844797957478</v>
      </c>
      <c r="AE11" s="168"/>
      <c r="AF11" s="110">
        <f t="shared" si="7"/>
        <v>42160</v>
      </c>
      <c r="AG11" s="169">
        <f t="shared" si="8"/>
        <v>5.8228384150832229</v>
      </c>
      <c r="AH11" s="170">
        <f t="shared" si="8"/>
        <v>0</v>
      </c>
      <c r="AI11" s="170">
        <f t="shared" si="8"/>
        <v>0</v>
      </c>
      <c r="AJ11" s="170">
        <f t="shared" si="8"/>
        <v>51.600014729709827</v>
      </c>
      <c r="AK11" s="170">
        <f t="shared" si="8"/>
        <v>0.15742377375165709</v>
      </c>
      <c r="AL11" s="170">
        <f t="shared" si="8"/>
        <v>18.433618107723277</v>
      </c>
      <c r="AM11" s="170">
        <f t="shared" si="8"/>
        <v>19.569033240045172</v>
      </c>
      <c r="AN11" s="170">
        <f t="shared" si="8"/>
        <v>7.499877252418127</v>
      </c>
      <c r="AO11" s="170">
        <f t="shared" si="8"/>
        <v>15.294348701330584</v>
      </c>
      <c r="AP11" s="170">
        <f t="shared" si="8"/>
        <v>12.161216674031522</v>
      </c>
      <c r="AQ11" s="170">
        <f t="shared" si="8"/>
        <v>11.323464427750773</v>
      </c>
      <c r="AR11" s="170">
        <f t="shared" si="8"/>
        <v>12.434330043698139</v>
      </c>
      <c r="AS11" s="170">
        <f t="shared" si="9"/>
        <v>0</v>
      </c>
      <c r="AT11" s="171">
        <f t="shared" si="10"/>
        <v>0</v>
      </c>
      <c r="AU11" s="170">
        <f t="shared" si="11"/>
        <v>3.9647468944861788</v>
      </c>
      <c r="AV11" s="170">
        <f t="shared" si="11"/>
        <v>0.79540433053468851</v>
      </c>
      <c r="AW11" s="171">
        <f t="shared" si="12"/>
        <v>4.7601512250208673</v>
      </c>
      <c r="AX11" s="172">
        <f t="shared" si="13"/>
        <v>159.05631659056317</v>
      </c>
      <c r="AY11" s="170">
        <f t="shared" si="14"/>
        <v>1.6110620120783622E-2</v>
      </c>
      <c r="AZ11" s="170">
        <f t="shared" si="14"/>
        <v>42.161492856090732</v>
      </c>
      <c r="BA11" s="170">
        <f t="shared" si="14"/>
        <v>111.84452791280012</v>
      </c>
      <c r="BB11" s="170">
        <f t="shared" si="14"/>
        <v>0</v>
      </c>
      <c r="BC11" s="170">
        <f t="shared" si="14"/>
        <v>0</v>
      </c>
      <c r="BD11" s="172">
        <f t="shared" si="15"/>
        <v>154.02213138901163</v>
      </c>
      <c r="BE11" s="173">
        <f t="shared" si="16"/>
        <v>313.07844797957478</v>
      </c>
      <c r="BF11" s="136"/>
      <c r="BG11" s="136"/>
      <c r="BH11" s="182">
        <f t="shared" si="25"/>
        <v>42160</v>
      </c>
      <c r="BI11" s="183">
        <f t="shared" ref="BI11:BU11" si="31">+B11/(30*1000000)</f>
        <v>6.3250000000000001E-2</v>
      </c>
      <c r="BJ11" s="183">
        <f t="shared" si="31"/>
        <v>0</v>
      </c>
      <c r="BK11" s="183">
        <f t="shared" si="31"/>
        <v>0</v>
      </c>
      <c r="BL11" s="183">
        <f t="shared" si="31"/>
        <v>0.5605</v>
      </c>
      <c r="BM11" s="183">
        <f t="shared" si="31"/>
        <v>1.7099999999999999E-3</v>
      </c>
      <c r="BN11" s="183">
        <f t="shared" si="31"/>
        <v>0.20023333333333335</v>
      </c>
      <c r="BO11" s="183">
        <f t="shared" si="31"/>
        <v>0.21256666666666665</v>
      </c>
      <c r="BP11" s="183">
        <f t="shared" si="31"/>
        <v>8.1466666666666673E-2</v>
      </c>
      <c r="BQ11" s="183">
        <f t="shared" si="31"/>
        <v>0.16613333333333333</v>
      </c>
      <c r="BR11" s="183">
        <f t="shared" si="31"/>
        <v>0.1321</v>
      </c>
      <c r="BS11" s="183">
        <f t="shared" si="31"/>
        <v>0.123</v>
      </c>
      <c r="BT11" s="183">
        <f t="shared" si="31"/>
        <v>0.13506666666666667</v>
      </c>
      <c r="BU11" s="185">
        <f t="shared" si="31"/>
        <v>0</v>
      </c>
      <c r="BV11" s="184">
        <f>+P11/(30*1000000)</f>
        <v>0</v>
      </c>
      <c r="BW11" s="183">
        <f>+Q11/(30*1000000)</f>
        <v>4.306666666666667E-2</v>
      </c>
      <c r="BX11" s="183">
        <f>+R11/(30*1000000)</f>
        <v>8.6400000000000001E-3</v>
      </c>
      <c r="BY11" s="185">
        <f>+S11/(30*1000000)</f>
        <v>5.1706666666666665E-2</v>
      </c>
      <c r="BZ11" s="180">
        <f t="shared" si="27"/>
        <v>1.7277333333333331</v>
      </c>
      <c r="CA11" s="184">
        <f>+V11/(30*1000000)</f>
        <v>1.75E-4</v>
      </c>
      <c r="CB11" s="183">
        <f>+W11/(30*1000000)</f>
        <v>0.45797500000000002</v>
      </c>
      <c r="CC11" s="183">
        <f>+X11/(30*1000000)</f>
        <v>1.2149000000000001</v>
      </c>
      <c r="CD11" s="183">
        <f>+Y11/(30*1000000)</f>
        <v>0</v>
      </c>
      <c r="CE11" s="183">
        <f>+Z11/(30*1000000)</f>
        <v>0</v>
      </c>
      <c r="CF11" s="183">
        <f t="shared" si="18"/>
        <v>1.6730500000000001</v>
      </c>
      <c r="CG11" s="183">
        <f t="shared" si="19"/>
        <v>3.400783333333333</v>
      </c>
      <c r="CH11" s="185">
        <f t="shared" si="20"/>
        <v>10.435948265985825</v>
      </c>
      <c r="CI11" s="184">
        <f t="shared" si="21"/>
        <v>2.6733841684822073</v>
      </c>
      <c r="CJ11" s="183">
        <f t="shared" si="22"/>
        <v>2.5887706724103787</v>
      </c>
      <c r="CK11" s="185">
        <f t="shared" si="22"/>
        <v>5.2621548408925856</v>
      </c>
      <c r="CL11" s="181"/>
    </row>
    <row r="12" spans="1:90" x14ac:dyDescent="0.2">
      <c r="A12" s="160">
        <f t="shared" si="23"/>
        <v>42191</v>
      </c>
      <c r="B12" s="161">
        <v>1549900</v>
      </c>
      <c r="C12" s="161">
        <v>0</v>
      </c>
      <c r="D12" s="161">
        <v>0</v>
      </c>
      <c r="E12" s="161">
        <v>17120000</v>
      </c>
      <c r="F12" s="161">
        <v>276000</v>
      </c>
      <c r="G12" s="161">
        <v>4530000</v>
      </c>
      <c r="H12" s="161">
        <v>6375000</v>
      </c>
      <c r="I12" s="161">
        <v>1891000</v>
      </c>
      <c r="J12" s="161">
        <v>5102000</v>
      </c>
      <c r="K12" s="161">
        <v>3935000</v>
      </c>
      <c r="L12" s="161">
        <v>3801000</v>
      </c>
      <c r="M12" s="161">
        <v>4037000</v>
      </c>
      <c r="N12" s="161">
        <v>0</v>
      </c>
      <c r="O12" s="166">
        <f t="shared" si="0"/>
        <v>48616900</v>
      </c>
      <c r="P12" s="163">
        <v>0</v>
      </c>
      <c r="Q12" s="161">
        <v>1290000</v>
      </c>
      <c r="R12" s="161">
        <v>267840</v>
      </c>
      <c r="S12" s="162">
        <f t="shared" si="1"/>
        <v>1557840</v>
      </c>
      <c r="T12" s="164">
        <f t="shared" si="24"/>
        <v>50174740</v>
      </c>
      <c r="U12" s="165">
        <f t="shared" si="2"/>
        <v>153.970700152207</v>
      </c>
      <c r="V12" s="161">
        <v>9750</v>
      </c>
      <c r="W12" s="161">
        <v>10609500</v>
      </c>
      <c r="X12" s="161">
        <v>41868000</v>
      </c>
      <c r="Y12" s="161">
        <v>0</v>
      </c>
      <c r="Z12" s="161">
        <v>0</v>
      </c>
      <c r="AA12" s="305">
        <f t="shared" si="3"/>
        <v>52487250</v>
      </c>
      <c r="AB12" s="165">
        <f t="shared" si="4"/>
        <v>161.06707541611431</v>
      </c>
      <c r="AC12" s="161">
        <f t="shared" si="5"/>
        <v>102661990</v>
      </c>
      <c r="AD12" s="167">
        <f t="shared" si="6"/>
        <v>315.03777556832131</v>
      </c>
      <c r="AE12" s="168"/>
      <c r="AF12" s="110">
        <f t="shared" si="7"/>
        <v>42191</v>
      </c>
      <c r="AG12" s="169">
        <f t="shared" si="8"/>
        <v>4.7561619286100063</v>
      </c>
      <c r="AH12" s="170">
        <f t="shared" si="8"/>
        <v>0</v>
      </c>
      <c r="AI12" s="170">
        <f t="shared" si="8"/>
        <v>0</v>
      </c>
      <c r="AJ12" s="170">
        <f t="shared" si="8"/>
        <v>52.53596504148868</v>
      </c>
      <c r="AK12" s="170">
        <f t="shared" si="8"/>
        <v>0.846958314921196</v>
      </c>
      <c r="AL12" s="170">
        <f t="shared" si="8"/>
        <v>13.901163647076153</v>
      </c>
      <c r="AM12" s="170">
        <f t="shared" si="8"/>
        <v>19.562895860951539</v>
      </c>
      <c r="AN12" s="170">
        <f t="shared" si="8"/>
        <v>5.8028919330289197</v>
      </c>
      <c r="AO12" s="170">
        <f t="shared" si="8"/>
        <v>15.656454067854863</v>
      </c>
      <c r="AP12" s="170">
        <f t="shared" si="8"/>
        <v>12.075293366720675</v>
      </c>
      <c r="AQ12" s="170">
        <f t="shared" si="8"/>
        <v>11.664088967447341</v>
      </c>
      <c r="AR12" s="170">
        <f t="shared" si="8"/>
        <v>12.388299700495899</v>
      </c>
      <c r="AS12" s="170">
        <f t="shared" si="9"/>
        <v>0</v>
      </c>
      <c r="AT12" s="171">
        <f t="shared" si="10"/>
        <v>0</v>
      </c>
      <c r="AU12" s="170">
        <f t="shared" si="11"/>
        <v>3.9586095153925469</v>
      </c>
      <c r="AV12" s="170">
        <f t="shared" si="11"/>
        <v>0.82191780821917804</v>
      </c>
      <c r="AW12" s="171">
        <f t="shared" si="12"/>
        <v>4.7805273236117252</v>
      </c>
      <c r="AX12" s="172">
        <f t="shared" si="13"/>
        <v>153.970700152207</v>
      </c>
      <c r="AY12" s="170">
        <f t="shared" si="14"/>
        <v>2.9919723081455296E-2</v>
      </c>
      <c r="AZ12" s="170">
        <f t="shared" si="14"/>
        <v>32.557261746943588</v>
      </c>
      <c r="BA12" s="170">
        <f t="shared" si="14"/>
        <v>128.47989394608925</v>
      </c>
      <c r="BB12" s="170">
        <f t="shared" si="14"/>
        <v>0</v>
      </c>
      <c r="BC12" s="170">
        <f t="shared" si="14"/>
        <v>0</v>
      </c>
      <c r="BD12" s="172">
        <f t="shared" si="15"/>
        <v>161.06707541611428</v>
      </c>
      <c r="BE12" s="173">
        <f t="shared" si="16"/>
        <v>315.03777556832131</v>
      </c>
      <c r="BF12" s="136"/>
      <c r="BG12" s="136"/>
      <c r="BH12" s="182">
        <f t="shared" si="25"/>
        <v>42191</v>
      </c>
      <c r="BI12" s="183">
        <f t="shared" ref="BI12:BU13" si="32">+B12/(31*1000000)</f>
        <v>4.9996774193548386E-2</v>
      </c>
      <c r="BJ12" s="183">
        <f t="shared" si="32"/>
        <v>0</v>
      </c>
      <c r="BK12" s="183">
        <f t="shared" si="32"/>
        <v>0</v>
      </c>
      <c r="BL12" s="183">
        <f t="shared" si="32"/>
        <v>0.55225806451612902</v>
      </c>
      <c r="BM12" s="183">
        <f t="shared" si="32"/>
        <v>8.9032258064516128E-3</v>
      </c>
      <c r="BN12" s="183">
        <f t="shared" si="32"/>
        <v>0.14612903225806451</v>
      </c>
      <c r="BO12" s="183">
        <f t="shared" si="32"/>
        <v>0.20564516129032259</v>
      </c>
      <c r="BP12" s="183">
        <f t="shared" si="32"/>
        <v>6.0999999999999999E-2</v>
      </c>
      <c r="BQ12" s="183">
        <f t="shared" si="32"/>
        <v>0.16458064516129031</v>
      </c>
      <c r="BR12" s="183">
        <f t="shared" si="32"/>
        <v>0.12693548387096773</v>
      </c>
      <c r="BS12" s="183">
        <f t="shared" si="32"/>
        <v>0.12261290322580645</v>
      </c>
      <c r="BT12" s="183">
        <f t="shared" si="32"/>
        <v>0.13022580645161291</v>
      </c>
      <c r="BU12" s="185">
        <f t="shared" si="32"/>
        <v>0</v>
      </c>
      <c r="BV12" s="184">
        <f t="shared" ref="BV12:BX13" si="33">+P12/(31*1000000)</f>
        <v>0</v>
      </c>
      <c r="BW12" s="183">
        <f t="shared" si="33"/>
        <v>4.161290322580645E-2</v>
      </c>
      <c r="BX12" s="183">
        <f t="shared" si="33"/>
        <v>8.6400000000000001E-3</v>
      </c>
      <c r="BY12" s="185">
        <f t="shared" ref="BY12:BY17" si="34">SUM(BV12:BX12)</f>
        <v>5.0252903225806451E-2</v>
      </c>
      <c r="BZ12" s="180">
        <f t="shared" si="27"/>
        <v>1.6185400000000003</v>
      </c>
      <c r="CA12" s="184">
        <f t="shared" ref="CA12:CE13" si="35">+V12/(31*1000000)</f>
        <v>3.1451612903225806E-4</v>
      </c>
      <c r="CB12" s="183">
        <f t="shared" si="35"/>
        <v>0.34224193548387094</v>
      </c>
      <c r="CC12" s="183">
        <f t="shared" si="35"/>
        <v>1.3505806451612903</v>
      </c>
      <c r="CD12" s="183">
        <f t="shared" si="35"/>
        <v>0</v>
      </c>
      <c r="CE12" s="183">
        <f t="shared" si="35"/>
        <v>0</v>
      </c>
      <c r="CF12" s="183">
        <f t="shared" si="18"/>
        <v>1.6931370967741934</v>
      </c>
      <c r="CG12" s="183">
        <f t="shared" si="19"/>
        <v>3.3116770967741935</v>
      </c>
      <c r="CH12" s="185">
        <f t="shared" si="20"/>
        <v>10.162508889300687</v>
      </c>
      <c r="CI12" s="184">
        <f t="shared" si="21"/>
        <v>2.504425381263617</v>
      </c>
      <c r="CJ12" s="183">
        <f t="shared" si="22"/>
        <v>2.6198521625170104</v>
      </c>
      <c r="CK12" s="185">
        <f t="shared" si="22"/>
        <v>5.1242775437806269</v>
      </c>
      <c r="CL12" s="181"/>
    </row>
    <row r="13" spans="1:90" x14ac:dyDescent="0.2">
      <c r="A13" s="160">
        <f t="shared" si="23"/>
        <v>42222</v>
      </c>
      <c r="B13" s="161">
        <v>2634200</v>
      </c>
      <c r="C13" s="161">
        <v>0</v>
      </c>
      <c r="D13" s="161">
        <v>0</v>
      </c>
      <c r="E13" s="161">
        <v>16938000</v>
      </c>
      <c r="F13" s="161">
        <v>1022000</v>
      </c>
      <c r="G13" s="161">
        <v>7660000</v>
      </c>
      <c r="H13" s="161">
        <v>5963000</v>
      </c>
      <c r="I13" s="161">
        <v>3384000</v>
      </c>
      <c r="J13" s="161">
        <v>3819000</v>
      </c>
      <c r="K13" s="161">
        <v>3546000</v>
      </c>
      <c r="L13" s="161">
        <v>3265000</v>
      </c>
      <c r="M13" s="161">
        <v>4733000</v>
      </c>
      <c r="N13" s="161">
        <v>0</v>
      </c>
      <c r="O13" s="166">
        <f t="shared" si="0"/>
        <v>52964200</v>
      </c>
      <c r="P13" s="163">
        <v>0</v>
      </c>
      <c r="Q13" s="161">
        <v>1350700</v>
      </c>
      <c r="R13" s="161">
        <v>267840</v>
      </c>
      <c r="S13" s="162">
        <f t="shared" si="1"/>
        <v>1618540</v>
      </c>
      <c r="T13" s="164">
        <f t="shared" si="24"/>
        <v>54582740</v>
      </c>
      <c r="U13" s="165">
        <f t="shared" si="2"/>
        <v>167.49748367457161</v>
      </c>
      <c r="V13" s="161">
        <v>0</v>
      </c>
      <c r="W13" s="161">
        <v>18067500</v>
      </c>
      <c r="X13" s="161">
        <v>39369750</v>
      </c>
      <c r="Y13" s="161">
        <v>0</v>
      </c>
      <c r="Z13" s="161">
        <v>0</v>
      </c>
      <c r="AA13" s="305">
        <f t="shared" si="3"/>
        <v>57437250</v>
      </c>
      <c r="AB13" s="165">
        <f t="shared" si="4"/>
        <v>176.25708867285314</v>
      </c>
      <c r="AC13" s="161">
        <f t="shared" si="5"/>
        <v>112019990</v>
      </c>
      <c r="AD13" s="167">
        <f t="shared" si="6"/>
        <v>343.75457234742476</v>
      </c>
      <c r="AE13" s="168"/>
      <c r="AF13" s="110">
        <f t="shared" si="7"/>
        <v>42222</v>
      </c>
      <c r="AG13" s="169">
        <f t="shared" si="8"/>
        <v>8.083542004222517</v>
      </c>
      <c r="AH13" s="170">
        <f t="shared" si="8"/>
        <v>0</v>
      </c>
      <c r="AI13" s="170">
        <f t="shared" si="8"/>
        <v>0</v>
      </c>
      <c r="AJ13" s="170">
        <f t="shared" si="8"/>
        <v>51.977463543968184</v>
      </c>
      <c r="AK13" s="170">
        <f t="shared" si="8"/>
        <v>3.1362007168458783</v>
      </c>
      <c r="AL13" s="170">
        <f t="shared" si="8"/>
        <v>23.506161928610005</v>
      </c>
      <c r="AM13" s="170">
        <f t="shared" si="8"/>
        <v>18.298595767663379</v>
      </c>
      <c r="AN13" s="170">
        <f t="shared" si="8"/>
        <v>10.384445426425099</v>
      </c>
      <c r="AO13" s="170">
        <f t="shared" si="8"/>
        <v>11.719325379290028</v>
      </c>
      <c r="AP13" s="170">
        <f t="shared" si="8"/>
        <v>10.88157313300928</v>
      </c>
      <c r="AQ13" s="170">
        <f t="shared" si="8"/>
        <v>10.019271370354003</v>
      </c>
      <c r="AR13" s="170">
        <f t="shared" si="8"/>
        <v>14.524107625079786</v>
      </c>
      <c r="AS13" s="170">
        <f t="shared" si="9"/>
        <v>0</v>
      </c>
      <c r="AT13" s="171">
        <f t="shared" si="10"/>
        <v>0</v>
      </c>
      <c r="AU13" s="170">
        <f t="shared" si="11"/>
        <v>4.1448789708842737</v>
      </c>
      <c r="AV13" s="170">
        <f t="shared" si="11"/>
        <v>0.82191780821917804</v>
      </c>
      <c r="AW13" s="171">
        <f t="shared" si="12"/>
        <v>4.9667967791034515</v>
      </c>
      <c r="AX13" s="172">
        <f t="shared" si="13"/>
        <v>167.49748367457161</v>
      </c>
      <c r="AY13" s="170">
        <f t="shared" si="14"/>
        <v>0</v>
      </c>
      <c r="AZ13" s="170">
        <f t="shared" si="14"/>
        <v>55.443548387096776</v>
      </c>
      <c r="BA13" s="170">
        <f t="shared" si="14"/>
        <v>120.81354028575637</v>
      </c>
      <c r="BB13" s="170">
        <f t="shared" si="14"/>
        <v>0</v>
      </c>
      <c r="BC13" s="170">
        <f t="shared" si="14"/>
        <v>0</v>
      </c>
      <c r="BD13" s="172">
        <f t="shared" si="15"/>
        <v>176.25708867285314</v>
      </c>
      <c r="BE13" s="173">
        <f t="shared" si="16"/>
        <v>343.75457234742476</v>
      </c>
      <c r="BF13" s="136"/>
      <c r="BG13" s="136"/>
      <c r="BH13" s="182">
        <f t="shared" si="25"/>
        <v>42222</v>
      </c>
      <c r="BI13" s="183">
        <f t="shared" si="32"/>
        <v>8.4974193548387103E-2</v>
      </c>
      <c r="BJ13" s="183">
        <f t="shared" si="32"/>
        <v>0</v>
      </c>
      <c r="BK13" s="183">
        <f t="shared" si="32"/>
        <v>0</v>
      </c>
      <c r="BL13" s="183">
        <f t="shared" si="32"/>
        <v>0.5463870967741935</v>
      </c>
      <c r="BM13" s="183">
        <f t="shared" si="32"/>
        <v>3.2967741935483873E-2</v>
      </c>
      <c r="BN13" s="183">
        <f t="shared" si="32"/>
        <v>0.24709677419354839</v>
      </c>
      <c r="BO13" s="183">
        <f t="shared" si="32"/>
        <v>0.19235483870967743</v>
      </c>
      <c r="BP13" s="183">
        <f t="shared" si="32"/>
        <v>0.10916129032258065</v>
      </c>
      <c r="BQ13" s="183">
        <f t="shared" si="32"/>
        <v>0.12319354838709677</v>
      </c>
      <c r="BR13" s="183">
        <f t="shared" si="32"/>
        <v>0.11438709677419355</v>
      </c>
      <c r="BS13" s="183">
        <f t="shared" si="32"/>
        <v>0.10532258064516128</v>
      </c>
      <c r="BT13" s="183">
        <f t="shared" si="32"/>
        <v>0.15267741935483872</v>
      </c>
      <c r="BU13" s="185">
        <f t="shared" si="32"/>
        <v>0</v>
      </c>
      <c r="BV13" s="184">
        <f t="shared" si="33"/>
        <v>0</v>
      </c>
      <c r="BW13" s="183">
        <f t="shared" si="33"/>
        <v>4.357096774193548E-2</v>
      </c>
      <c r="BX13" s="183">
        <f t="shared" si="33"/>
        <v>8.6400000000000001E-3</v>
      </c>
      <c r="BY13" s="185">
        <f t="shared" si="34"/>
        <v>5.2210967741935482E-2</v>
      </c>
      <c r="BZ13" s="180">
        <f t="shared" si="27"/>
        <v>1.7607335483870969</v>
      </c>
      <c r="CA13" s="184">
        <f t="shared" si="35"/>
        <v>0</v>
      </c>
      <c r="CB13" s="183">
        <f t="shared" si="35"/>
        <v>0.58282258064516124</v>
      </c>
      <c r="CC13" s="183">
        <f t="shared" si="35"/>
        <v>1.2699919354838709</v>
      </c>
      <c r="CD13" s="183">
        <f t="shared" si="35"/>
        <v>0</v>
      </c>
      <c r="CE13" s="183">
        <f t="shared" si="35"/>
        <v>0</v>
      </c>
      <c r="CF13" s="183">
        <f t="shared" si="18"/>
        <v>1.8528145161290321</v>
      </c>
      <c r="CG13" s="183">
        <f t="shared" si="19"/>
        <v>3.6135480645161291</v>
      </c>
      <c r="CH13" s="185">
        <f t="shared" si="20"/>
        <v>11.088857172497573</v>
      </c>
      <c r="CI13" s="184">
        <f t="shared" si="21"/>
        <v>2.7244465927459287</v>
      </c>
      <c r="CJ13" s="183">
        <f t="shared" si="22"/>
        <v>2.8669267988231462</v>
      </c>
      <c r="CK13" s="185">
        <f t="shared" si="22"/>
        <v>5.5913733915690749</v>
      </c>
      <c r="CL13" s="181"/>
    </row>
    <row r="14" spans="1:90" x14ac:dyDescent="0.2">
      <c r="A14" s="160">
        <f t="shared" si="23"/>
        <v>42253</v>
      </c>
      <c r="B14" s="161">
        <v>1193600</v>
      </c>
      <c r="C14" s="161">
        <v>0</v>
      </c>
      <c r="D14" s="161">
        <v>0</v>
      </c>
      <c r="E14" s="186">
        <v>16213000</v>
      </c>
      <c r="F14" s="186">
        <v>264000</v>
      </c>
      <c r="G14" s="186">
        <v>6019000</v>
      </c>
      <c r="H14" s="186">
        <v>5355000</v>
      </c>
      <c r="I14" s="186">
        <v>2494000</v>
      </c>
      <c r="J14" s="186">
        <v>3358000</v>
      </c>
      <c r="K14" s="186">
        <v>3320000</v>
      </c>
      <c r="L14" s="186">
        <v>3174000</v>
      </c>
      <c r="M14" s="186">
        <v>4382000</v>
      </c>
      <c r="N14" s="186">
        <v>0</v>
      </c>
      <c r="O14" s="166">
        <f t="shared" si="0"/>
        <v>45772600</v>
      </c>
      <c r="P14" s="163">
        <v>0</v>
      </c>
      <c r="Q14" s="186">
        <v>1259300</v>
      </c>
      <c r="R14" s="186">
        <v>259200</v>
      </c>
      <c r="S14" s="162">
        <f t="shared" si="1"/>
        <v>1518500</v>
      </c>
      <c r="T14" s="164">
        <f t="shared" si="24"/>
        <v>47291100</v>
      </c>
      <c r="U14" s="165">
        <f t="shared" si="2"/>
        <v>145.12170422742673</v>
      </c>
      <c r="V14" s="186">
        <v>0</v>
      </c>
      <c r="W14" s="186">
        <v>15265500</v>
      </c>
      <c r="X14" s="186">
        <v>34002000</v>
      </c>
      <c r="Y14" s="161">
        <v>0</v>
      </c>
      <c r="Z14" s="161">
        <v>0</v>
      </c>
      <c r="AA14" s="305">
        <f t="shared" si="3"/>
        <v>49267500</v>
      </c>
      <c r="AB14" s="165">
        <f t="shared" si="4"/>
        <v>151.18666224775373</v>
      </c>
      <c r="AC14" s="161">
        <f t="shared" si="5"/>
        <v>96558600</v>
      </c>
      <c r="AD14" s="167">
        <f t="shared" si="6"/>
        <v>296.30836647518043</v>
      </c>
      <c r="AE14" s="168"/>
      <c r="AF14" s="110">
        <f t="shared" si="7"/>
        <v>42253</v>
      </c>
      <c r="AG14" s="169">
        <f t="shared" si="8"/>
        <v>3.6627878430794913</v>
      </c>
      <c r="AH14" s="170">
        <f t="shared" si="8"/>
        <v>0</v>
      </c>
      <c r="AI14" s="170">
        <f t="shared" si="8"/>
        <v>0</v>
      </c>
      <c r="AJ14" s="170">
        <f t="shared" si="8"/>
        <v>49.752663622526633</v>
      </c>
      <c r="AK14" s="170">
        <f t="shared" si="8"/>
        <v>0.81013404035940495</v>
      </c>
      <c r="AL14" s="170">
        <f t="shared" si="8"/>
        <v>18.470442382285068</v>
      </c>
      <c r="AM14" s="170">
        <f t="shared" si="8"/>
        <v>16.432832523199291</v>
      </c>
      <c r="AN14" s="170">
        <f t="shared" si="8"/>
        <v>7.6533117297589239</v>
      </c>
      <c r="AO14" s="170">
        <f t="shared" si="8"/>
        <v>10.304659498207885</v>
      </c>
      <c r="AP14" s="170">
        <f t="shared" si="8"/>
        <v>10.188049295428881</v>
      </c>
      <c r="AQ14" s="170">
        <f t="shared" si="8"/>
        <v>9.7400206215937555</v>
      </c>
      <c r="AR14" s="170">
        <f t="shared" si="8"/>
        <v>13.446997594147396</v>
      </c>
      <c r="AS14" s="170">
        <f t="shared" si="9"/>
        <v>0</v>
      </c>
      <c r="AT14" s="171">
        <f t="shared" si="10"/>
        <v>0</v>
      </c>
      <c r="AU14" s="170">
        <f t="shared" si="11"/>
        <v>3.8644007463052978</v>
      </c>
      <c r="AV14" s="170">
        <f t="shared" si="11"/>
        <v>0.79540433053468851</v>
      </c>
      <c r="AW14" s="171">
        <f t="shared" si="12"/>
        <v>4.6598050768399863</v>
      </c>
      <c r="AX14" s="172">
        <f t="shared" si="13"/>
        <v>145.12170422742673</v>
      </c>
      <c r="AY14" s="170">
        <f t="shared" si="14"/>
        <v>0</v>
      </c>
      <c r="AZ14" s="170">
        <f t="shared" si="14"/>
        <v>46.845080276918544</v>
      </c>
      <c r="BA14" s="170">
        <f t="shared" si="14"/>
        <v>104.34158197083518</v>
      </c>
      <c r="BB14" s="170">
        <f t="shared" si="14"/>
        <v>0</v>
      </c>
      <c r="BC14" s="170">
        <f t="shared" si="14"/>
        <v>0</v>
      </c>
      <c r="BD14" s="172">
        <f t="shared" si="15"/>
        <v>151.18666224775373</v>
      </c>
      <c r="BE14" s="173">
        <f t="shared" si="16"/>
        <v>296.30836647518049</v>
      </c>
      <c r="BF14" s="136"/>
      <c r="BG14" s="136"/>
      <c r="BH14" s="182">
        <f t="shared" si="25"/>
        <v>42253</v>
      </c>
      <c r="BI14" s="183">
        <f t="shared" ref="BI14:BU14" si="36">+B14/(30*1000000)</f>
        <v>3.9786666666666665E-2</v>
      </c>
      <c r="BJ14" s="183">
        <f t="shared" si="36"/>
        <v>0</v>
      </c>
      <c r="BK14" s="183">
        <f t="shared" si="36"/>
        <v>0</v>
      </c>
      <c r="BL14" s="183">
        <f t="shared" si="36"/>
        <v>0.54043333333333332</v>
      </c>
      <c r="BM14" s="183">
        <f t="shared" si="36"/>
        <v>8.8000000000000005E-3</v>
      </c>
      <c r="BN14" s="183">
        <f t="shared" si="36"/>
        <v>0.20063333333333333</v>
      </c>
      <c r="BO14" s="183">
        <f t="shared" si="36"/>
        <v>0.17849999999999999</v>
      </c>
      <c r="BP14" s="183">
        <f t="shared" si="36"/>
        <v>8.3133333333333337E-2</v>
      </c>
      <c r="BQ14" s="183">
        <f t="shared" si="36"/>
        <v>0.11193333333333333</v>
      </c>
      <c r="BR14" s="183">
        <f t="shared" si="36"/>
        <v>0.11066666666666666</v>
      </c>
      <c r="BS14" s="183">
        <f t="shared" si="36"/>
        <v>0.10580000000000001</v>
      </c>
      <c r="BT14" s="183">
        <f t="shared" si="36"/>
        <v>0.14606666666666668</v>
      </c>
      <c r="BU14" s="185">
        <f t="shared" si="36"/>
        <v>0</v>
      </c>
      <c r="BV14" s="184">
        <f>+P14/(30*1000000)</f>
        <v>0</v>
      </c>
      <c r="BW14" s="183">
        <f>+Q14/(30*1000000)</f>
        <v>4.1976666666666669E-2</v>
      </c>
      <c r="BX14" s="183">
        <f>+R14/(30*1000000)</f>
        <v>8.6400000000000001E-3</v>
      </c>
      <c r="BY14" s="185">
        <f t="shared" si="34"/>
        <v>5.0616666666666671E-2</v>
      </c>
      <c r="BZ14" s="180">
        <f t="shared" si="27"/>
        <v>1.57637</v>
      </c>
      <c r="CA14" s="184">
        <f>+V14/(30*1000000)</f>
        <v>0</v>
      </c>
      <c r="CB14" s="183">
        <f>+W14/(30*1000000)</f>
        <v>0.50885000000000002</v>
      </c>
      <c r="CC14" s="183">
        <f>+X14/(30*1000000)</f>
        <v>1.1334</v>
      </c>
      <c r="CD14" s="183">
        <f>+Y14/(30*1000000)</f>
        <v>0</v>
      </c>
      <c r="CE14" s="183">
        <f>+Z14/(30*1000000)</f>
        <v>0</v>
      </c>
      <c r="CF14" s="183">
        <f t="shared" si="18"/>
        <v>1.64225</v>
      </c>
      <c r="CG14" s="183">
        <f t="shared" si="19"/>
        <v>3.21862</v>
      </c>
      <c r="CH14" s="185">
        <f t="shared" si="20"/>
        <v>9.8769455491726816</v>
      </c>
      <c r="CI14" s="184">
        <f t="shared" si="21"/>
        <v>2.4391742176668649</v>
      </c>
      <c r="CJ14" s="183">
        <f t="shared" si="22"/>
        <v>2.5411127203406614</v>
      </c>
      <c r="CK14" s="185">
        <f t="shared" si="22"/>
        <v>4.9802869380075263</v>
      </c>
      <c r="CL14" s="181"/>
    </row>
    <row r="15" spans="1:90" s="85" customFormat="1" x14ac:dyDescent="0.2">
      <c r="A15" s="191">
        <f t="shared" si="23"/>
        <v>42284</v>
      </c>
      <c r="B15" s="186">
        <v>1754800</v>
      </c>
      <c r="C15" s="186">
        <v>0</v>
      </c>
      <c r="D15" s="186">
        <v>0</v>
      </c>
      <c r="E15" s="161">
        <v>16470000</v>
      </c>
      <c r="F15" s="161">
        <v>315638</v>
      </c>
      <c r="G15" s="161">
        <v>2685000</v>
      </c>
      <c r="H15" s="161">
        <v>5850000</v>
      </c>
      <c r="I15" s="161">
        <v>3332000</v>
      </c>
      <c r="J15" s="161">
        <v>4279000</v>
      </c>
      <c r="K15" s="161">
        <v>3275000</v>
      </c>
      <c r="L15" s="161">
        <v>3433000</v>
      </c>
      <c r="M15" s="161">
        <v>4698000</v>
      </c>
      <c r="N15" s="161">
        <v>0</v>
      </c>
      <c r="O15" s="166">
        <f>SUM(B15:N15)</f>
        <v>46092438</v>
      </c>
      <c r="P15" s="188">
        <v>0</v>
      </c>
      <c r="Q15" s="161">
        <v>1366000</v>
      </c>
      <c r="R15" s="161">
        <v>259200</v>
      </c>
      <c r="S15" s="187">
        <f t="shared" si="1"/>
        <v>1625200</v>
      </c>
      <c r="T15" s="189">
        <f>+O15+S15</f>
        <v>47717638</v>
      </c>
      <c r="U15" s="190">
        <f t="shared" si="2"/>
        <v>146.43061692934648</v>
      </c>
      <c r="V15" s="161">
        <v>0</v>
      </c>
      <c r="W15" s="161">
        <v>18943500</v>
      </c>
      <c r="X15" s="161">
        <v>32548500</v>
      </c>
      <c r="Y15" s="186">
        <v>0</v>
      </c>
      <c r="Z15" s="186">
        <v>0</v>
      </c>
      <c r="AA15" s="192">
        <f t="shared" si="3"/>
        <v>51492000</v>
      </c>
      <c r="AB15" s="190">
        <f t="shared" si="4"/>
        <v>158.01296214464574</v>
      </c>
      <c r="AC15" s="186">
        <f t="shared" si="5"/>
        <v>99209638</v>
      </c>
      <c r="AD15" s="193">
        <f t="shared" si="6"/>
        <v>304.44357907399223</v>
      </c>
      <c r="AE15" s="194"/>
      <c r="AF15" s="110">
        <f t="shared" si="7"/>
        <v>42284</v>
      </c>
      <c r="AG15" s="169">
        <f t="shared" si="8"/>
        <v>5.3849364167525904</v>
      </c>
      <c r="AH15" s="170">
        <f t="shared" si="8"/>
        <v>0</v>
      </c>
      <c r="AI15" s="170">
        <f t="shared" si="8"/>
        <v>0</v>
      </c>
      <c r="AJ15" s="170">
        <f t="shared" si="8"/>
        <v>50.541316836058328</v>
      </c>
      <c r="AK15" s="170">
        <f t="shared" si="8"/>
        <v>0.96859503117788581</v>
      </c>
      <c r="AL15" s="170">
        <f t="shared" si="8"/>
        <v>8.2394314332007657</v>
      </c>
      <c r="AM15" s="170">
        <f t="shared" si="8"/>
        <v>17.951833848873179</v>
      </c>
      <c r="AN15" s="170">
        <f t="shared" si="8"/>
        <v>10.22487356999067</v>
      </c>
      <c r="AO15" s="170">
        <f t="shared" si="8"/>
        <v>13.130922570825355</v>
      </c>
      <c r="AP15" s="170">
        <f t="shared" si="8"/>
        <v>10.049958265822163</v>
      </c>
      <c r="AQ15" s="170">
        <f t="shared" si="8"/>
        <v>10.534811214219079</v>
      </c>
      <c r="AR15" s="170">
        <f t="shared" si="8"/>
        <v>14.416703490941229</v>
      </c>
      <c r="AS15" s="170">
        <f t="shared" si="9"/>
        <v>0</v>
      </c>
      <c r="AT15" s="171">
        <f t="shared" si="10"/>
        <v>0</v>
      </c>
      <c r="AU15" s="170">
        <f t="shared" si="11"/>
        <v>4.191829920950557</v>
      </c>
      <c r="AV15" s="170">
        <f t="shared" si="11"/>
        <v>0.79540433053468851</v>
      </c>
      <c r="AW15" s="171">
        <f t="shared" si="12"/>
        <v>4.9872342514852459</v>
      </c>
      <c r="AX15" s="172">
        <f t="shared" si="13"/>
        <v>146.43061692934651</v>
      </c>
      <c r="AY15" s="170">
        <f t="shared" si="14"/>
        <v>0</v>
      </c>
      <c r="AZ15" s="170">
        <f t="shared" si="14"/>
        <v>58.131720430107528</v>
      </c>
      <c r="BA15" s="170">
        <f t="shared" si="14"/>
        <v>99.88124171453822</v>
      </c>
      <c r="BB15" s="170">
        <f t="shared" si="14"/>
        <v>0</v>
      </c>
      <c r="BC15" s="170">
        <f t="shared" si="14"/>
        <v>0</v>
      </c>
      <c r="BD15" s="172">
        <f t="shared" si="15"/>
        <v>158.01296214464574</v>
      </c>
      <c r="BE15" s="173">
        <f t="shared" si="16"/>
        <v>304.44357907399228</v>
      </c>
      <c r="BF15" s="170"/>
      <c r="BG15" s="170"/>
      <c r="BH15" s="195">
        <f t="shared" si="25"/>
        <v>42284</v>
      </c>
      <c r="BI15" s="196">
        <f t="shared" ref="BI15:BU15" si="37">+B15/(31*1000000)</f>
        <v>5.6606451612903223E-2</v>
      </c>
      <c r="BJ15" s="196">
        <f t="shared" si="37"/>
        <v>0</v>
      </c>
      <c r="BK15" s="196">
        <f t="shared" si="37"/>
        <v>0</v>
      </c>
      <c r="BL15" s="196">
        <f t="shared" si="37"/>
        <v>0.53129032258064512</v>
      </c>
      <c r="BM15" s="196">
        <f t="shared" si="37"/>
        <v>1.0181870967741936E-2</v>
      </c>
      <c r="BN15" s="196">
        <f t="shared" si="37"/>
        <v>8.6612903225806448E-2</v>
      </c>
      <c r="BO15" s="196">
        <f t="shared" si="37"/>
        <v>0.18870967741935485</v>
      </c>
      <c r="BP15" s="196">
        <f t="shared" si="37"/>
        <v>0.10748387096774194</v>
      </c>
      <c r="BQ15" s="196">
        <f t="shared" si="37"/>
        <v>0.13803225806451613</v>
      </c>
      <c r="BR15" s="196">
        <f t="shared" si="37"/>
        <v>0.10564516129032259</v>
      </c>
      <c r="BS15" s="196">
        <f t="shared" si="37"/>
        <v>0.11074193548387097</v>
      </c>
      <c r="BT15" s="196">
        <f t="shared" si="37"/>
        <v>0.15154838709677421</v>
      </c>
      <c r="BU15" s="197">
        <f t="shared" si="37"/>
        <v>0</v>
      </c>
      <c r="BV15" s="198">
        <f>+P15/(31*1000000)</f>
        <v>0</v>
      </c>
      <c r="BW15" s="196">
        <f>+Q15/(31*1000000)</f>
        <v>4.4064516129032255E-2</v>
      </c>
      <c r="BX15" s="196">
        <f>+R15/(31*1000000)</f>
        <v>8.3612903225806449E-3</v>
      </c>
      <c r="BY15" s="197">
        <f t="shared" si="34"/>
        <v>5.2425806451612898E-2</v>
      </c>
      <c r="BZ15" s="180">
        <f t="shared" si="27"/>
        <v>1.5392786451612905</v>
      </c>
      <c r="CA15" s="198">
        <f>+V15/(31*1000000)</f>
        <v>0</v>
      </c>
      <c r="CB15" s="196">
        <f>+W15/(31*1000000)</f>
        <v>0.61108064516129035</v>
      </c>
      <c r="CC15" s="196">
        <f>+X15/(31*1000000)</f>
        <v>1.0499516129032258</v>
      </c>
      <c r="CD15" s="196">
        <f>+Y15/(31*1000000)</f>
        <v>0</v>
      </c>
      <c r="CE15" s="196">
        <f>+Z15/(31*1000000)</f>
        <v>0</v>
      </c>
      <c r="CF15" s="196">
        <f t="shared" si="18"/>
        <v>1.661032258064516</v>
      </c>
      <c r="CG15" s="196">
        <f t="shared" si="19"/>
        <v>3.2003109032258066</v>
      </c>
      <c r="CH15" s="197">
        <f t="shared" si="20"/>
        <v>9.820760615290073</v>
      </c>
      <c r="CI15" s="198">
        <f t="shared" si="21"/>
        <v>2.3817814250985507</v>
      </c>
      <c r="CJ15" s="196">
        <f t="shared" si="22"/>
        <v>2.5701751863990951</v>
      </c>
      <c r="CK15" s="197">
        <f t="shared" si="22"/>
        <v>4.9519566114976454</v>
      </c>
      <c r="CL15" s="199"/>
    </row>
    <row r="16" spans="1:90" x14ac:dyDescent="0.2">
      <c r="A16" s="160">
        <f t="shared" si="23"/>
        <v>42315</v>
      </c>
      <c r="B16" s="161">
        <v>1588800</v>
      </c>
      <c r="C16" s="161">
        <v>0</v>
      </c>
      <c r="D16" s="161">
        <v>0</v>
      </c>
      <c r="E16" s="161">
        <v>16269000</v>
      </c>
      <c r="F16" s="161">
        <v>586362</v>
      </c>
      <c r="G16" s="161">
        <v>6775000</v>
      </c>
      <c r="H16" s="161">
        <v>5689000</v>
      </c>
      <c r="I16" s="161">
        <v>2732000</v>
      </c>
      <c r="J16" s="161">
        <v>1964000</v>
      </c>
      <c r="K16" s="161">
        <v>3273000</v>
      </c>
      <c r="L16" s="161">
        <v>3462000</v>
      </c>
      <c r="M16" s="161">
        <v>4742000</v>
      </c>
      <c r="N16" s="161">
        <v>0</v>
      </c>
      <c r="O16" s="166">
        <f>SUM(B16:N16)</f>
        <v>47081162</v>
      </c>
      <c r="P16" s="163">
        <v>0</v>
      </c>
      <c r="Q16" s="161">
        <v>1238000</v>
      </c>
      <c r="R16" s="161">
        <v>259200</v>
      </c>
      <c r="S16" s="162">
        <f t="shared" si="1"/>
        <v>1497200</v>
      </c>
      <c r="T16" s="164">
        <f>+O16+S16</f>
        <v>48578362</v>
      </c>
      <c r="U16" s="165">
        <f t="shared" si="2"/>
        <v>149.07191167084008</v>
      </c>
      <c r="V16" s="161">
        <v>0</v>
      </c>
      <c r="W16" s="161">
        <v>15640500</v>
      </c>
      <c r="X16" s="161">
        <v>29985000</v>
      </c>
      <c r="Y16" s="161">
        <v>0</v>
      </c>
      <c r="Z16" s="161">
        <v>0</v>
      </c>
      <c r="AA16" s="166">
        <f t="shared" si="3"/>
        <v>45625500</v>
      </c>
      <c r="AB16" s="165">
        <f t="shared" si="4"/>
        <v>140.01049491825012</v>
      </c>
      <c r="AC16" s="161">
        <f t="shared" si="5"/>
        <v>94203862</v>
      </c>
      <c r="AD16" s="167">
        <f t="shared" si="6"/>
        <v>289.08240658909017</v>
      </c>
      <c r="AE16" s="168"/>
      <c r="AF16" s="110">
        <f t="shared" si="7"/>
        <v>42315</v>
      </c>
      <c r="AG16" s="169">
        <f t="shared" si="8"/>
        <v>4.8755339519811463</v>
      </c>
      <c r="AH16" s="170">
        <f t="shared" si="8"/>
        <v>0</v>
      </c>
      <c r="AI16" s="170">
        <f t="shared" si="8"/>
        <v>0</v>
      </c>
      <c r="AJ16" s="170">
        <f t="shared" si="8"/>
        <v>49.924510237148326</v>
      </c>
      <c r="AK16" s="170">
        <f t="shared" si="8"/>
        <v>1.799362940050081</v>
      </c>
      <c r="AL16" s="170">
        <f t="shared" si="8"/>
        <v>20.790371679677911</v>
      </c>
      <c r="AM16" s="170">
        <f t="shared" si="8"/>
        <v>17.457774831835813</v>
      </c>
      <c r="AN16" s="170">
        <f t="shared" si="8"/>
        <v>8.3836598419011139</v>
      </c>
      <c r="AO16" s="170">
        <f t="shared" si="8"/>
        <v>6.0269062699464824</v>
      </c>
      <c r="AP16" s="170">
        <f t="shared" si="8"/>
        <v>10.043820886728531</v>
      </c>
      <c r="AQ16" s="170">
        <f t="shared" si="8"/>
        <v>10.623803211076742</v>
      </c>
      <c r="AR16" s="170">
        <f t="shared" si="8"/>
        <v>14.551725831001129</v>
      </c>
      <c r="AS16" s="170">
        <f t="shared" si="9"/>
        <v>0</v>
      </c>
      <c r="AT16" s="171">
        <f t="shared" si="10"/>
        <v>0</v>
      </c>
      <c r="AU16" s="170">
        <f t="shared" si="11"/>
        <v>3.7990376589581185</v>
      </c>
      <c r="AV16" s="170">
        <f t="shared" si="11"/>
        <v>0.79540433053468851</v>
      </c>
      <c r="AW16" s="171">
        <f t="shared" si="12"/>
        <v>4.5944419894928075</v>
      </c>
      <c r="AX16" s="172">
        <f t="shared" si="13"/>
        <v>149.07191167084011</v>
      </c>
      <c r="AY16" s="170">
        <f t="shared" si="14"/>
        <v>0</v>
      </c>
      <c r="AZ16" s="170">
        <f t="shared" si="14"/>
        <v>47.995838856974515</v>
      </c>
      <c r="BA16" s="170">
        <f t="shared" si="14"/>
        <v>92.014656061275588</v>
      </c>
      <c r="BB16" s="170">
        <f t="shared" si="14"/>
        <v>0</v>
      </c>
      <c r="BC16" s="170">
        <f t="shared" si="14"/>
        <v>0</v>
      </c>
      <c r="BD16" s="172">
        <f t="shared" si="15"/>
        <v>140.01049491825012</v>
      </c>
      <c r="BE16" s="173">
        <f t="shared" si="16"/>
        <v>289.08240658909023</v>
      </c>
      <c r="BF16" s="136"/>
      <c r="BG16" s="136"/>
      <c r="BH16" s="182">
        <f t="shared" si="25"/>
        <v>42315</v>
      </c>
      <c r="BI16" s="183">
        <f t="shared" ref="BI16:BU16" si="38">+B16/(30*1000000)</f>
        <v>5.296E-2</v>
      </c>
      <c r="BJ16" s="183">
        <f t="shared" si="38"/>
        <v>0</v>
      </c>
      <c r="BK16" s="183">
        <f t="shared" si="38"/>
        <v>0</v>
      </c>
      <c r="BL16" s="183">
        <f t="shared" si="38"/>
        <v>0.5423</v>
      </c>
      <c r="BM16" s="183">
        <f t="shared" si="38"/>
        <v>1.9545400000000001E-2</v>
      </c>
      <c r="BN16" s="183">
        <f t="shared" si="38"/>
        <v>0.22583333333333333</v>
      </c>
      <c r="BO16" s="183">
        <f t="shared" si="38"/>
        <v>0.18963333333333332</v>
      </c>
      <c r="BP16" s="183">
        <f t="shared" si="38"/>
        <v>9.1066666666666671E-2</v>
      </c>
      <c r="BQ16" s="183">
        <f t="shared" si="38"/>
        <v>6.5466666666666673E-2</v>
      </c>
      <c r="BR16" s="183">
        <f t="shared" si="38"/>
        <v>0.1091</v>
      </c>
      <c r="BS16" s="183">
        <f t="shared" si="38"/>
        <v>0.1154</v>
      </c>
      <c r="BT16" s="183">
        <f t="shared" si="38"/>
        <v>0.15806666666666666</v>
      </c>
      <c r="BU16" s="185">
        <f t="shared" si="38"/>
        <v>0</v>
      </c>
      <c r="BV16" s="184">
        <f>+P16/(30*1000000)</f>
        <v>0</v>
      </c>
      <c r="BW16" s="183">
        <f>+Q16/(30*1000000)</f>
        <v>4.1266666666666667E-2</v>
      </c>
      <c r="BX16" s="183">
        <f>+R16/(30*1000000)</f>
        <v>8.6400000000000001E-3</v>
      </c>
      <c r="BY16" s="185">
        <f t="shared" si="34"/>
        <v>4.9906666666666669E-2</v>
      </c>
      <c r="BZ16" s="180">
        <f t="shared" si="27"/>
        <v>1.6192787333333332</v>
      </c>
      <c r="CA16" s="184">
        <f>+V16/(30*1000000)</f>
        <v>0</v>
      </c>
      <c r="CB16" s="183">
        <f>+W16/(30*1000000)</f>
        <v>0.52134999999999998</v>
      </c>
      <c r="CC16" s="183">
        <f>+X16/(30*1000000)</f>
        <v>0.99950000000000006</v>
      </c>
      <c r="CD16" s="183">
        <f>+Y16/(30*1000000)</f>
        <v>0</v>
      </c>
      <c r="CE16" s="183">
        <f>+Z16/(30*1000000)</f>
        <v>0</v>
      </c>
      <c r="CF16" s="183">
        <f t="shared" si="18"/>
        <v>1.52085</v>
      </c>
      <c r="CG16" s="183">
        <f t="shared" si="19"/>
        <v>3.1401287333333334</v>
      </c>
      <c r="CH16" s="185">
        <f t="shared" si="20"/>
        <v>9.6360802196363409</v>
      </c>
      <c r="CI16" s="184">
        <f t="shared" si="21"/>
        <v>2.5055684500231066</v>
      </c>
      <c r="CJ16" s="183">
        <f t="shared" si="22"/>
        <v>2.3532661170528817</v>
      </c>
      <c r="CK16" s="185">
        <f t="shared" si="22"/>
        <v>4.8588345670759887</v>
      </c>
      <c r="CL16" s="181"/>
    </row>
    <row r="17" spans="1:120" s="204" customFormat="1" ht="13.5" thickBot="1" x14ac:dyDescent="0.25">
      <c r="A17" s="160">
        <f t="shared" si="23"/>
        <v>42346</v>
      </c>
      <c r="B17" s="161">
        <v>1152500</v>
      </c>
      <c r="C17" s="161">
        <v>0</v>
      </c>
      <c r="D17" s="161">
        <v>0</v>
      </c>
      <c r="E17" s="161">
        <v>15746000</v>
      </c>
      <c r="F17" s="161">
        <v>808000</v>
      </c>
      <c r="G17" s="161">
        <v>4972000</v>
      </c>
      <c r="H17" s="161">
        <v>5488000</v>
      </c>
      <c r="I17" s="161">
        <v>2067000</v>
      </c>
      <c r="J17" s="161">
        <v>3179000</v>
      </c>
      <c r="K17" s="161">
        <v>3264000</v>
      </c>
      <c r="L17" s="161">
        <v>3280000</v>
      </c>
      <c r="M17" s="161">
        <v>3989000</v>
      </c>
      <c r="N17" s="161">
        <v>0</v>
      </c>
      <c r="O17" s="162">
        <f>SUM(B17:N17)</f>
        <v>43945500</v>
      </c>
      <c r="P17" s="163">
        <v>0</v>
      </c>
      <c r="Q17" s="161">
        <v>1200000</v>
      </c>
      <c r="R17" s="161">
        <v>267840</v>
      </c>
      <c r="S17" s="162">
        <f t="shared" si="1"/>
        <v>1467840</v>
      </c>
      <c r="T17" s="164">
        <f t="shared" si="24"/>
        <v>45413340</v>
      </c>
      <c r="U17" s="165">
        <f t="shared" si="2"/>
        <v>139.35944174399765</v>
      </c>
      <c r="V17" s="161">
        <v>0</v>
      </c>
      <c r="W17" s="161">
        <v>12111750</v>
      </c>
      <c r="X17" s="161">
        <v>30072000</v>
      </c>
      <c r="Y17" s="161">
        <v>0</v>
      </c>
      <c r="Z17" s="161">
        <v>0</v>
      </c>
      <c r="AA17" s="166">
        <f t="shared" si="3"/>
        <v>42183750</v>
      </c>
      <c r="AB17" s="165">
        <f t="shared" si="4"/>
        <v>129.44883267049639</v>
      </c>
      <c r="AC17" s="161">
        <f t="shared" si="5"/>
        <v>87597090</v>
      </c>
      <c r="AD17" s="167">
        <f t="shared" si="6"/>
        <v>268.80827441449401</v>
      </c>
      <c r="AE17" s="168"/>
      <c r="AF17" s="110">
        <f t="shared" si="7"/>
        <v>42346</v>
      </c>
      <c r="AG17" s="169">
        <f t="shared" si="8"/>
        <v>3.5366647027053566</v>
      </c>
      <c r="AH17" s="170">
        <f t="shared" si="8"/>
        <v>0</v>
      </c>
      <c r="AI17" s="170">
        <f t="shared" si="8"/>
        <v>0</v>
      </c>
      <c r="AJ17" s="170">
        <f t="shared" si="8"/>
        <v>48.319585604163599</v>
      </c>
      <c r="AK17" s="170">
        <f t="shared" si="8"/>
        <v>2.4795011538272695</v>
      </c>
      <c r="AL17" s="170">
        <f t="shared" si="8"/>
        <v>15.257524426768793</v>
      </c>
      <c r="AM17" s="170">
        <f t="shared" si="8"/>
        <v>16.84096823292581</v>
      </c>
      <c r="AN17" s="170">
        <f t="shared" si="8"/>
        <v>6.3429812932685223</v>
      </c>
      <c r="AO17" s="170">
        <f t="shared" si="8"/>
        <v>9.7553640693278343</v>
      </c>
      <c r="AP17" s="170">
        <f t="shared" si="8"/>
        <v>10.016202680807188</v>
      </c>
      <c r="AQ17" s="170">
        <f t="shared" si="8"/>
        <v>10.065301713556243</v>
      </c>
      <c r="AR17" s="170">
        <f t="shared" si="8"/>
        <v>12.241002602248736</v>
      </c>
      <c r="AS17" s="170">
        <f t="shared" si="9"/>
        <v>0</v>
      </c>
      <c r="AT17" s="171">
        <f t="shared" si="10"/>
        <v>0</v>
      </c>
      <c r="AU17" s="170">
        <f t="shared" si="11"/>
        <v>3.6824274561791133</v>
      </c>
      <c r="AV17" s="170">
        <f t="shared" si="11"/>
        <v>0.82191780821917804</v>
      </c>
      <c r="AW17" s="171">
        <f t="shared" si="12"/>
        <v>4.5043452643982915</v>
      </c>
      <c r="AX17" s="172">
        <f t="shared" si="13"/>
        <v>139.35944174399765</v>
      </c>
      <c r="AY17" s="170">
        <f t="shared" si="14"/>
        <v>0</v>
      </c>
      <c r="AZ17" s="170">
        <f t="shared" si="14"/>
        <v>37.167200618647811</v>
      </c>
      <c r="BA17" s="170">
        <f t="shared" si="14"/>
        <v>92.281632051848575</v>
      </c>
      <c r="BB17" s="170">
        <f t="shared" si="14"/>
        <v>0</v>
      </c>
      <c r="BC17" s="170">
        <f t="shared" si="14"/>
        <v>0</v>
      </c>
      <c r="BD17" s="172">
        <f t="shared" si="15"/>
        <v>129.44883267049639</v>
      </c>
      <c r="BE17" s="173">
        <f t="shared" si="16"/>
        <v>268.80827441449401</v>
      </c>
      <c r="BF17" s="136"/>
      <c r="BG17" s="136"/>
      <c r="BH17" s="200">
        <f t="shared" si="25"/>
        <v>42346</v>
      </c>
      <c r="BI17" s="201">
        <f t="shared" ref="BI17:BU17" si="39">+B17/(31*1000000)</f>
        <v>3.717741935483871E-2</v>
      </c>
      <c r="BJ17" s="201">
        <f t="shared" si="39"/>
        <v>0</v>
      </c>
      <c r="BK17" s="201">
        <f t="shared" si="39"/>
        <v>0</v>
      </c>
      <c r="BL17" s="201">
        <f t="shared" si="39"/>
        <v>0.50793548387096776</v>
      </c>
      <c r="BM17" s="201">
        <f t="shared" si="39"/>
        <v>2.6064516129032256E-2</v>
      </c>
      <c r="BN17" s="201">
        <f t="shared" si="39"/>
        <v>0.16038709677419355</v>
      </c>
      <c r="BO17" s="201">
        <f t="shared" si="39"/>
        <v>0.17703225806451614</v>
      </c>
      <c r="BP17" s="201">
        <f t="shared" si="39"/>
        <v>6.6677419354838716E-2</v>
      </c>
      <c r="BQ17" s="201">
        <f t="shared" si="39"/>
        <v>0.10254838709677419</v>
      </c>
      <c r="BR17" s="201">
        <f t="shared" si="39"/>
        <v>0.10529032258064516</v>
      </c>
      <c r="BS17" s="201">
        <f t="shared" si="39"/>
        <v>0.10580645161290322</v>
      </c>
      <c r="BT17" s="201">
        <f t="shared" si="39"/>
        <v>0.1286774193548387</v>
      </c>
      <c r="BU17" s="202">
        <f t="shared" si="39"/>
        <v>0</v>
      </c>
      <c r="BV17" s="203">
        <f>+P17/(31*1000000)</f>
        <v>0</v>
      </c>
      <c r="BW17" s="201">
        <f>+Q17/(31*1000000)</f>
        <v>3.870967741935484E-2</v>
      </c>
      <c r="BX17" s="201">
        <f>+R17/(31*1000000)</f>
        <v>8.6400000000000001E-3</v>
      </c>
      <c r="BY17" s="202">
        <f t="shared" si="34"/>
        <v>4.7349677419354842E-2</v>
      </c>
      <c r="BZ17" s="180">
        <f t="shared" si="27"/>
        <v>1.4649464516129034</v>
      </c>
      <c r="CA17" s="203">
        <f>+V17/(31*1000000)</f>
        <v>0</v>
      </c>
      <c r="CB17" s="201">
        <f>+W17/(31*1000000)</f>
        <v>0.3907016129032258</v>
      </c>
      <c r="CC17" s="201">
        <f>+X17/(31*1000000)</f>
        <v>0.97006451612903222</v>
      </c>
      <c r="CD17" s="201">
        <f>+Y17/(31*1000000)</f>
        <v>0</v>
      </c>
      <c r="CE17" s="201">
        <f>+Z17/(31*1000000)</f>
        <v>0</v>
      </c>
      <c r="CF17" s="201">
        <f t="shared" si="18"/>
        <v>1.3607661290322581</v>
      </c>
      <c r="CG17" s="201">
        <f t="shared" si="19"/>
        <v>2.8257125806451615</v>
      </c>
      <c r="CH17" s="202">
        <f t="shared" si="20"/>
        <v>8.6712346585320663</v>
      </c>
      <c r="CI17" s="203">
        <f t="shared" si="21"/>
        <v>2.2667645381710848</v>
      </c>
      <c r="CJ17" s="201">
        <f t="shared" si="22"/>
        <v>2.1055625634906945</v>
      </c>
      <c r="CK17" s="202">
        <f t="shared" si="22"/>
        <v>4.3723271016617797</v>
      </c>
      <c r="CL17" s="181"/>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row>
    <row r="18" spans="1:120" x14ac:dyDescent="0.2">
      <c r="A18" s="205" t="s">
        <v>79</v>
      </c>
      <c r="B18" s="161">
        <f t="shared" ref="B18:R18" si="40">SUM(B6:B17)</f>
        <v>19359500</v>
      </c>
      <c r="C18" s="161">
        <f t="shared" si="40"/>
        <v>0</v>
      </c>
      <c r="D18" s="161">
        <f t="shared" si="40"/>
        <v>0</v>
      </c>
      <c r="E18" s="161">
        <f t="shared" si="40"/>
        <v>199590000</v>
      </c>
      <c r="F18" s="161">
        <f t="shared" si="40"/>
        <v>5908000</v>
      </c>
      <c r="G18" s="161">
        <f t="shared" si="40"/>
        <v>69075000</v>
      </c>
      <c r="H18" s="161">
        <f t="shared" si="40"/>
        <v>81377000</v>
      </c>
      <c r="I18" s="161">
        <f t="shared" si="40"/>
        <v>32155000</v>
      </c>
      <c r="J18" s="161">
        <f t="shared" si="40"/>
        <v>58580302</v>
      </c>
      <c r="K18" s="161">
        <f t="shared" si="40"/>
        <v>37862000</v>
      </c>
      <c r="L18" s="161">
        <f t="shared" si="40"/>
        <v>40012000</v>
      </c>
      <c r="M18" s="161">
        <f t="shared" si="40"/>
        <v>57006000</v>
      </c>
      <c r="N18" s="161">
        <f t="shared" si="40"/>
        <v>0</v>
      </c>
      <c r="O18" s="162">
        <f t="shared" si="40"/>
        <v>600924802</v>
      </c>
      <c r="P18" s="163">
        <f t="shared" si="40"/>
        <v>0</v>
      </c>
      <c r="Q18" s="161">
        <f t="shared" si="40"/>
        <v>15684000</v>
      </c>
      <c r="R18" s="161">
        <f t="shared" si="40"/>
        <v>3100080</v>
      </c>
      <c r="S18" s="162">
        <f t="shared" si="1"/>
        <v>18784080</v>
      </c>
      <c r="T18" s="164">
        <f t="shared" si="24"/>
        <v>619708882</v>
      </c>
      <c r="U18" s="165">
        <f t="shared" ref="U18:AA18" si="41">SUM(U6:U17)</f>
        <v>1901.6941682623853</v>
      </c>
      <c r="V18" s="161">
        <f t="shared" si="41"/>
        <v>15000</v>
      </c>
      <c r="W18" s="161">
        <f t="shared" si="41"/>
        <v>174825400</v>
      </c>
      <c r="X18" s="161">
        <f t="shared" si="41"/>
        <v>393189328</v>
      </c>
      <c r="Y18" s="161">
        <f t="shared" si="41"/>
        <v>0</v>
      </c>
      <c r="Z18" s="161">
        <f t="shared" si="41"/>
        <v>769692</v>
      </c>
      <c r="AA18" s="161">
        <f t="shared" si="41"/>
        <v>568799420</v>
      </c>
      <c r="AB18" s="165">
        <f>SUM(AB6:AB17)</f>
        <v>1745.4688343889625</v>
      </c>
      <c r="AC18" s="161">
        <f>SUM(AC6:AC17)</f>
        <v>1188508302</v>
      </c>
      <c r="AD18" s="167">
        <f t="shared" si="6"/>
        <v>3647.1630026513476</v>
      </c>
      <c r="AE18" s="109"/>
      <c r="AF18" s="110"/>
      <c r="AG18" s="169"/>
      <c r="AH18" s="170"/>
      <c r="AI18" s="170"/>
      <c r="AJ18" s="170"/>
      <c r="AK18" s="170"/>
      <c r="AL18" s="170"/>
      <c r="AM18" s="170"/>
      <c r="AN18" s="170"/>
      <c r="AO18" s="170"/>
      <c r="AP18" s="170"/>
      <c r="AQ18" s="170"/>
      <c r="AR18" s="170"/>
      <c r="AS18" s="170"/>
      <c r="AT18" s="171"/>
      <c r="AU18" s="170"/>
      <c r="AV18" s="170"/>
      <c r="AW18" s="171"/>
      <c r="AX18" s="172"/>
      <c r="AY18" s="170"/>
      <c r="AZ18" s="170"/>
      <c r="BA18" s="170"/>
      <c r="BB18" s="170"/>
      <c r="BC18" s="170"/>
      <c r="BD18" s="172"/>
      <c r="BE18" s="173"/>
      <c r="BF18" s="136"/>
      <c r="BG18" s="136"/>
      <c r="BH18" s="174" t="s">
        <v>80</v>
      </c>
      <c r="BI18" s="175">
        <f t="shared" ref="BI18:CF18" si="42">+AVERAGE(BI6:BI17)</f>
        <v>5.3175428187403999E-2</v>
      </c>
      <c r="BJ18" s="175">
        <f t="shared" si="42"/>
        <v>0</v>
      </c>
      <c r="BK18" s="175">
        <f t="shared" si="42"/>
        <v>0</v>
      </c>
      <c r="BL18" s="175">
        <f t="shared" si="42"/>
        <v>0.54635481950844855</v>
      </c>
      <c r="BM18" s="175">
        <f t="shared" si="42"/>
        <v>1.6015900332821301E-2</v>
      </c>
      <c r="BN18" s="175">
        <f t="shared" si="42"/>
        <v>0.18943934971838194</v>
      </c>
      <c r="BO18" s="175">
        <f t="shared" si="42"/>
        <v>0.2232785202252944</v>
      </c>
      <c r="BP18" s="175">
        <f t="shared" si="42"/>
        <v>8.8117607526881706E-2</v>
      </c>
      <c r="BQ18" s="175">
        <f t="shared" si="42"/>
        <v>0.16060202078853048</v>
      </c>
      <c r="BR18" s="175">
        <f t="shared" si="42"/>
        <v>0.10341153993855606</v>
      </c>
      <c r="BS18" s="175">
        <f t="shared" si="42"/>
        <v>0.10979345878136199</v>
      </c>
      <c r="BT18" s="175">
        <f t="shared" si="42"/>
        <v>0.1564653609831029</v>
      </c>
      <c r="BU18" s="176">
        <f>+AVERAGE(BU6:BU17)</f>
        <v>0</v>
      </c>
      <c r="BV18" s="206">
        <f t="shared" si="42"/>
        <v>0</v>
      </c>
      <c r="BW18" s="175">
        <f t="shared" si="42"/>
        <v>4.2982643369175629E-2</v>
      </c>
      <c r="BX18" s="175">
        <f t="shared" si="42"/>
        <v>8.4953046594982064E-3</v>
      </c>
      <c r="BY18" s="176">
        <f t="shared" si="42"/>
        <v>5.147794802867383E-2</v>
      </c>
      <c r="BZ18" s="207">
        <f t="shared" si="42"/>
        <v>1.6981319540194573</v>
      </c>
      <c r="CA18" s="206">
        <f t="shared" si="42"/>
        <v>4.0793010752688169E-5</v>
      </c>
      <c r="CB18" s="175">
        <f t="shared" si="42"/>
        <v>0.47858519354838708</v>
      </c>
      <c r="CC18" s="175">
        <f t="shared" si="42"/>
        <v>1.0764749815668202</v>
      </c>
      <c r="CD18" s="175">
        <f t="shared" si="42"/>
        <v>0</v>
      </c>
      <c r="CE18" s="175">
        <f t="shared" si="42"/>
        <v>2.2907499999999998E-3</v>
      </c>
      <c r="CF18" s="175">
        <f t="shared" si="42"/>
        <v>1.5573917181259602</v>
      </c>
      <c r="CG18" s="175">
        <f t="shared" si="19"/>
        <v>3.2555236721454177</v>
      </c>
      <c r="CH18" s="176">
        <f>+AVERAGE(CH6:CH17)</f>
        <v>9.9901914621244448</v>
      </c>
      <c r="CI18" s="206">
        <f>+AVERAGE(CI6:CI17)</f>
        <v>2.6275808854777201</v>
      </c>
      <c r="CJ18" s="175">
        <f>+AVERAGE(CJ6:CJ17)</f>
        <v>2.4098084368902879</v>
      </c>
      <c r="CK18" s="176">
        <f>+AVERAGE(CK6:CK17)</f>
        <v>5.037389322368008</v>
      </c>
    </row>
    <row r="19" spans="1:120" ht="13.5" thickBot="1" x14ac:dyDescent="0.25">
      <c r="A19" s="208" t="s">
        <v>81</v>
      </c>
      <c r="B19" s="209">
        <f t="shared" ref="B19:R19" si="43">+B18/325872</f>
        <v>59.408295281582951</v>
      </c>
      <c r="C19" s="209">
        <f t="shared" si="43"/>
        <v>0</v>
      </c>
      <c r="D19" s="209">
        <f t="shared" si="43"/>
        <v>0</v>
      </c>
      <c r="E19" s="209">
        <f t="shared" si="43"/>
        <v>612.47974664899107</v>
      </c>
      <c r="F19" s="209">
        <f t="shared" si="43"/>
        <v>18.129817842588501</v>
      </c>
      <c r="G19" s="209">
        <f t="shared" si="43"/>
        <v>211.96973044631019</v>
      </c>
      <c r="H19" s="209">
        <f t="shared" si="43"/>
        <v>249.72074925123974</v>
      </c>
      <c r="I19" s="209">
        <f t="shared" si="43"/>
        <v>98.673712377866153</v>
      </c>
      <c r="J19" s="209">
        <f t="shared" si="43"/>
        <v>179.76476039672019</v>
      </c>
      <c r="K19" s="209">
        <f t="shared" si="43"/>
        <v>116.18672362154466</v>
      </c>
      <c r="L19" s="209">
        <f t="shared" si="43"/>
        <v>122.78440614719889</v>
      </c>
      <c r="M19" s="209">
        <f t="shared" si="43"/>
        <v>174.93371630578878</v>
      </c>
      <c r="N19" s="209">
        <f t="shared" si="43"/>
        <v>0</v>
      </c>
      <c r="O19" s="210">
        <f t="shared" si="43"/>
        <v>1844.0516583198312</v>
      </c>
      <c r="P19" s="211">
        <f t="shared" si="43"/>
        <v>0</v>
      </c>
      <c r="Q19" s="209">
        <f t="shared" si="43"/>
        <v>48.129326852261009</v>
      </c>
      <c r="R19" s="209">
        <f t="shared" si="43"/>
        <v>9.513183090293122</v>
      </c>
      <c r="S19" s="210">
        <f t="shared" si="1"/>
        <v>57.642509942554128</v>
      </c>
      <c r="T19" s="212">
        <f t="shared" si="24"/>
        <v>1901.6941682623853</v>
      </c>
      <c r="U19" s="213"/>
      <c r="V19" s="209">
        <f>+V18/325872</f>
        <v>4.6030343202238914E-2</v>
      </c>
      <c r="W19" s="209">
        <f>+W18/325872</f>
        <v>536.48487749791332</v>
      </c>
      <c r="X19" s="209">
        <f>+X18/325872</f>
        <v>1206.5759807531792</v>
      </c>
      <c r="Y19" s="209">
        <f>+Y18/325872</f>
        <v>0</v>
      </c>
      <c r="Z19" s="209">
        <f>+Z18/325872</f>
        <v>2.3619457946678448</v>
      </c>
      <c r="AA19" s="214">
        <f>SUM(V19:Y19)</f>
        <v>1743.1068885942948</v>
      </c>
      <c r="AB19" s="213"/>
      <c r="AC19" s="209">
        <f>+AA19+T19</f>
        <v>3644.8010568566801</v>
      </c>
      <c r="AD19" s="215">
        <f>SUM(AD6:AD17)</f>
        <v>3647.1630026513471</v>
      </c>
      <c r="AE19" s="168"/>
      <c r="AF19" s="216" t="str">
        <f>+A19</f>
        <v>Total Yr (Ac-Ft)</v>
      </c>
      <c r="AG19" s="217">
        <f t="shared" ref="AG19:BE19" si="44">SUM(AG6:AG18)</f>
        <v>59.408295281582951</v>
      </c>
      <c r="AH19" s="218">
        <f t="shared" si="44"/>
        <v>0</v>
      </c>
      <c r="AI19" s="218">
        <f t="shared" si="44"/>
        <v>0</v>
      </c>
      <c r="AJ19" s="218">
        <f t="shared" si="44"/>
        <v>612.47974664899107</v>
      </c>
      <c r="AK19" s="218">
        <f t="shared" si="44"/>
        <v>18.129817842588501</v>
      </c>
      <c r="AL19" s="218">
        <f t="shared" si="44"/>
        <v>211.96973044631017</v>
      </c>
      <c r="AM19" s="218">
        <f t="shared" si="44"/>
        <v>249.72074925123974</v>
      </c>
      <c r="AN19" s="218">
        <f t="shared" si="44"/>
        <v>98.673712377866153</v>
      </c>
      <c r="AO19" s="218">
        <f t="shared" si="44"/>
        <v>179.76476039672022</v>
      </c>
      <c r="AP19" s="218">
        <f t="shared" si="44"/>
        <v>116.18672362154466</v>
      </c>
      <c r="AQ19" s="218">
        <f t="shared" si="44"/>
        <v>122.78440614719889</v>
      </c>
      <c r="AR19" s="218">
        <f t="shared" si="44"/>
        <v>174.93371630578878</v>
      </c>
      <c r="AS19" s="218">
        <f t="shared" si="44"/>
        <v>0</v>
      </c>
      <c r="AT19" s="219">
        <f t="shared" si="44"/>
        <v>0</v>
      </c>
      <c r="AU19" s="218">
        <f t="shared" si="44"/>
        <v>48.129326852261009</v>
      </c>
      <c r="AV19" s="218">
        <f t="shared" si="44"/>
        <v>9.513183090293122</v>
      </c>
      <c r="AW19" s="219">
        <f t="shared" si="44"/>
        <v>57.642509942554135</v>
      </c>
      <c r="AX19" s="220">
        <f t="shared" si="44"/>
        <v>1901.6941682623853</v>
      </c>
      <c r="AY19" s="218">
        <f t="shared" si="44"/>
        <v>4.6030343202238921E-2</v>
      </c>
      <c r="AZ19" s="218">
        <f t="shared" si="44"/>
        <v>536.48487749791332</v>
      </c>
      <c r="BA19" s="218">
        <f t="shared" si="44"/>
        <v>1206.5759807531792</v>
      </c>
      <c r="BB19" s="218">
        <f t="shared" si="44"/>
        <v>0</v>
      </c>
      <c r="BC19" s="218">
        <f t="shared" si="44"/>
        <v>2.3619457946678448</v>
      </c>
      <c r="BD19" s="220">
        <f t="shared" si="44"/>
        <v>1745.4688343889625</v>
      </c>
      <c r="BE19" s="221">
        <f t="shared" si="44"/>
        <v>3647.1630026513471</v>
      </c>
      <c r="BF19" s="107"/>
      <c r="BG19" s="107"/>
      <c r="BH19" s="222" t="s">
        <v>82</v>
      </c>
      <c r="BI19" s="223">
        <f t="shared" ref="BI19:CF19" si="45">+BI18/(325872/1000000)</f>
        <v>0.16317888062614769</v>
      </c>
      <c r="BJ19" s="223">
        <f t="shared" si="45"/>
        <v>0</v>
      </c>
      <c r="BK19" s="223">
        <f t="shared" si="45"/>
        <v>0</v>
      </c>
      <c r="BL19" s="223">
        <f t="shared" si="45"/>
        <v>1.676593323478079</v>
      </c>
      <c r="BM19" s="223">
        <f t="shared" si="45"/>
        <v>4.9147825934174466E-2</v>
      </c>
      <c r="BN19" s="223">
        <f t="shared" si="45"/>
        <v>0.58133055223640551</v>
      </c>
      <c r="BO19" s="223">
        <f t="shared" si="45"/>
        <v>0.68517246104388962</v>
      </c>
      <c r="BP19" s="223">
        <f t="shared" si="45"/>
        <v>0.27040558110817042</v>
      </c>
      <c r="BQ19" s="223">
        <f t="shared" si="45"/>
        <v>0.49283774239127781</v>
      </c>
      <c r="BR19" s="223">
        <f t="shared" si="45"/>
        <v>0.3173379116295848</v>
      </c>
      <c r="BS19" s="223">
        <f t="shared" si="45"/>
        <v>0.33692203927113096</v>
      </c>
      <c r="BT19" s="223">
        <f t="shared" si="45"/>
        <v>0.48014361768762859</v>
      </c>
      <c r="BU19" s="224">
        <f>+BU18/(325872/1000000)</f>
        <v>0</v>
      </c>
      <c r="BV19" s="225">
        <f t="shared" si="45"/>
        <v>0</v>
      </c>
      <c r="BW19" s="223">
        <f t="shared" si="45"/>
        <v>0.1319003884015062</v>
      </c>
      <c r="BX19" s="223">
        <f t="shared" si="45"/>
        <v>2.6069452605618791E-2</v>
      </c>
      <c r="BY19" s="224">
        <f t="shared" si="45"/>
        <v>0.15796984100712497</v>
      </c>
      <c r="BZ19" s="226">
        <f t="shared" si="45"/>
        <v>5.2110397764136138</v>
      </c>
      <c r="CA19" s="225">
        <f t="shared" si="45"/>
        <v>1.2518108567992394E-4</v>
      </c>
      <c r="CB19" s="223">
        <f t="shared" si="45"/>
        <v>1.468629380702813</v>
      </c>
      <c r="CC19" s="223">
        <f t="shared" si="45"/>
        <v>3.3033675233429696</v>
      </c>
      <c r="CD19" s="223">
        <f t="shared" si="45"/>
        <v>0</v>
      </c>
      <c r="CE19" s="223">
        <f t="shared" si="45"/>
        <v>7.0296005793685857E-3</v>
      </c>
      <c r="CF19" s="223">
        <f t="shared" si="45"/>
        <v>4.7791516857108318</v>
      </c>
      <c r="CG19" s="223">
        <f t="shared" si="19"/>
        <v>9.9901914621244465</v>
      </c>
      <c r="CH19" s="224">
        <f>+CH18/(325872/1000000)</f>
        <v>30.656796110511014</v>
      </c>
      <c r="CI19" s="225"/>
      <c r="CJ19" s="223"/>
      <c r="CK19" s="224"/>
    </row>
    <row r="20" spans="1:120" x14ac:dyDescent="0.2">
      <c r="A20" s="104"/>
      <c r="B20" s="107"/>
      <c r="C20" s="227"/>
      <c r="N20" s="227">
        <f>SUM(B12:N12)</f>
        <v>48616900</v>
      </c>
      <c r="O20" s="228">
        <f t="shared" ref="O20:O25" si="46">+O6/325872</f>
        <v>170.17970245986155</v>
      </c>
      <c r="Q20" s="228">
        <f t="shared" ref="Q20:Q32" si="47">+Q6/325872</f>
        <v>4.2347915746059801</v>
      </c>
      <c r="S20" s="227"/>
      <c r="T20" s="229"/>
      <c r="V20" s="230">
        <f t="shared" ref="V20:V31" si="48">+A6</f>
        <v>42005</v>
      </c>
      <c r="W20" s="231">
        <f t="shared" ref="W20:W31" si="49">SUM(V6:Y6)</f>
        <v>41530456</v>
      </c>
      <c r="Z20" s="231"/>
      <c r="AA20" s="231"/>
      <c r="AB20" s="232"/>
      <c r="AC20" s="233"/>
      <c r="AG20" s="74">
        <f t="shared" ref="AG20:AR20" si="50">+AG19/$AX$19</f>
        <v>3.1239668435154039E-2</v>
      </c>
      <c r="AH20" s="74">
        <f t="shared" si="50"/>
        <v>0</v>
      </c>
      <c r="AI20" s="74">
        <f t="shared" si="50"/>
        <v>0</v>
      </c>
      <c r="AJ20" s="74">
        <f t="shared" si="50"/>
        <v>0.32207058152185725</v>
      </c>
      <c r="AK20" s="74">
        <f t="shared" si="50"/>
        <v>9.5335086709310707E-3</v>
      </c>
      <c r="AL20" s="74">
        <f t="shared" si="50"/>
        <v>0.11146362752954699</v>
      </c>
      <c r="AM20" s="74">
        <f t="shared" si="50"/>
        <v>0.13131488407487435</v>
      </c>
      <c r="AN20" s="74">
        <f t="shared" si="50"/>
        <v>5.1887266640790214E-2</v>
      </c>
      <c r="AO20" s="74">
        <f t="shared" si="50"/>
        <v>9.4528743578666363E-2</v>
      </c>
      <c r="AP20" s="74">
        <f t="shared" si="50"/>
        <v>6.1096429468312834E-2</v>
      </c>
      <c r="AQ20" s="74">
        <f t="shared" si="50"/>
        <v>6.4565800430144552E-2</v>
      </c>
      <c r="AR20" s="74">
        <f t="shared" si="50"/>
        <v>9.1988353976827461E-2</v>
      </c>
      <c r="AT20" s="74">
        <f>+AT19/$AX$19</f>
        <v>0</v>
      </c>
      <c r="AU20" s="74">
        <f>+AU19/$AX$19</f>
        <v>2.5308657751334278E-2</v>
      </c>
      <c r="AV20" s="74">
        <f>+AV19/$AX$19</f>
        <v>5.0024779215605952E-3</v>
      </c>
      <c r="AX20" s="234"/>
      <c r="AY20" s="74">
        <f>+AY19/$BE$19</f>
        <v>1.2620862618088809E-5</v>
      </c>
      <c r="AZ20" s="74">
        <f>+AZ19/$BE$19</f>
        <v>0.14709649037016154</v>
      </c>
      <c r="BA20" s="74">
        <f>+BA19/$BE$19</f>
        <v>0.33082589943911062</v>
      </c>
      <c r="BB20" s="74">
        <f>+BB19/$BE$19</f>
        <v>0</v>
      </c>
      <c r="BC20" s="74">
        <f>+BC19/$BE$19</f>
        <v>6.4761179934946724E-4</v>
      </c>
      <c r="BD20" s="235"/>
      <c r="BE20" s="236">
        <f>SUM(AG20:BD20)</f>
        <v>1.4785826224712397</v>
      </c>
      <c r="BF20" s="237"/>
      <c r="BG20" s="97"/>
    </row>
    <row r="21" spans="1:120" ht="13.5" thickBot="1" x14ac:dyDescent="0.25">
      <c r="A21" s="238"/>
      <c r="B21" s="239">
        <f>+A6</f>
        <v>42005</v>
      </c>
      <c r="C21" s="239">
        <f t="shared" ref="C21:J21" si="51">31+B21</f>
        <v>42036</v>
      </c>
      <c r="D21" s="239">
        <f t="shared" si="51"/>
        <v>42067</v>
      </c>
      <c r="E21" s="239">
        <f t="shared" si="51"/>
        <v>42098</v>
      </c>
      <c r="F21" s="239">
        <f t="shared" si="51"/>
        <v>42129</v>
      </c>
      <c r="G21" s="239">
        <f t="shared" si="51"/>
        <v>42160</v>
      </c>
      <c r="H21" s="239">
        <f t="shared" si="51"/>
        <v>42191</v>
      </c>
      <c r="I21" s="239">
        <f t="shared" si="51"/>
        <v>42222</v>
      </c>
      <c r="J21" s="239">
        <f t="shared" si="51"/>
        <v>42253</v>
      </c>
      <c r="K21" s="239">
        <f>31+J21</f>
        <v>42284</v>
      </c>
      <c r="L21" s="239">
        <f>31+K21</f>
        <v>42315</v>
      </c>
      <c r="M21" s="239">
        <f>31+L21</f>
        <v>42346</v>
      </c>
      <c r="N21" s="239"/>
      <c r="O21" s="228">
        <f t="shared" si="46"/>
        <v>142.57100947611332</v>
      </c>
      <c r="P21" s="82"/>
      <c r="Q21" s="228">
        <f t="shared" si="47"/>
        <v>3.8665488289880687</v>
      </c>
      <c r="R21" s="441" t="s">
        <v>83</v>
      </c>
      <c r="S21" s="441"/>
      <c r="T21" s="229"/>
      <c r="V21" s="230">
        <f t="shared" si="48"/>
        <v>42036</v>
      </c>
      <c r="W21" s="231">
        <f t="shared" si="49"/>
        <v>38129300</v>
      </c>
      <c r="Z21" s="240">
        <f>+Z10/325872</f>
        <v>0</v>
      </c>
      <c r="AB21" s="232">
        <v>2154</v>
      </c>
      <c r="AC21" s="72"/>
      <c r="AF21" s="241"/>
      <c r="AT21" s="235"/>
      <c r="AX21" s="242"/>
      <c r="AZ21" s="85"/>
      <c r="BA21" s="85"/>
      <c r="BB21" s="85"/>
      <c r="BC21" s="85"/>
      <c r="BD21" s="85"/>
      <c r="BE21" s="85"/>
      <c r="BF21" s="237" t="s">
        <v>4</v>
      </c>
      <c r="BG21" s="97"/>
    </row>
    <row r="22" spans="1:120" x14ac:dyDescent="0.2">
      <c r="A22" s="80" t="s">
        <v>30</v>
      </c>
      <c r="B22" s="243">
        <f>+U6</f>
        <v>175.23641184268669</v>
      </c>
      <c r="C22" s="243">
        <f>+U7</f>
        <v>147.17993568026711</v>
      </c>
      <c r="D22" s="243">
        <f>+U8</f>
        <v>188.88520646143272</v>
      </c>
      <c r="E22" s="243">
        <f>+U9</f>
        <v>178.05055972897333</v>
      </c>
      <c r="F22" s="243">
        <f>+U10</f>
        <v>151.83387956007266</v>
      </c>
      <c r="G22" s="243">
        <f>+U11</f>
        <v>159.05631659056317</v>
      </c>
      <c r="H22" s="243">
        <f>+U12</f>
        <v>153.970700152207</v>
      </c>
      <c r="I22" s="243">
        <f>+U13</f>
        <v>167.49748367457161</v>
      </c>
      <c r="J22" s="243">
        <f>+U14</f>
        <v>145.12170422742673</v>
      </c>
      <c r="K22" s="243">
        <f>+U15</f>
        <v>146.43061692934648</v>
      </c>
      <c r="L22" s="243">
        <f>+U16</f>
        <v>149.07191167084008</v>
      </c>
      <c r="M22" s="243">
        <f>+U17</f>
        <v>139.35944174399765</v>
      </c>
      <c r="N22" s="243">
        <f>SUM(B22:M22)</f>
        <v>1901.6941682623853</v>
      </c>
      <c r="O22" s="228">
        <f>+O8/325872</f>
        <v>183.95075367015269</v>
      </c>
      <c r="P22" s="82"/>
      <c r="Q22" s="228">
        <f t="shared" si="47"/>
        <v>4.1672804045760294</v>
      </c>
      <c r="R22" s="232">
        <f>T18/325851</f>
        <v>1901.8167260496361</v>
      </c>
      <c r="S22" s="60">
        <f>R22/R24</f>
        <v>0.52141737752876038</v>
      </c>
      <c r="T22" s="229"/>
      <c r="V22" s="230">
        <f t="shared" si="48"/>
        <v>42067</v>
      </c>
      <c r="W22" s="231">
        <f t="shared" si="49"/>
        <v>48963750</v>
      </c>
      <c r="Z22" s="231"/>
      <c r="AB22" s="232">
        <f>+AB21-AB18</f>
        <v>408.53116561103752</v>
      </c>
      <c r="AC22" s="77">
        <v>91522232</v>
      </c>
      <c r="AG22" s="235"/>
      <c r="AJ22" s="235"/>
      <c r="AK22" s="235"/>
      <c r="AL22" s="235"/>
      <c r="AM22" s="235"/>
      <c r="AN22" s="235"/>
      <c r="AO22" s="235"/>
      <c r="AP22" s="235"/>
      <c r="AQ22" s="235"/>
      <c r="AR22" s="235"/>
      <c r="AT22" s="235"/>
      <c r="AU22" s="235"/>
      <c r="BF22" s="237" t="s">
        <v>71</v>
      </c>
      <c r="BG22" s="97"/>
    </row>
    <row r="23" spans="1:120" ht="13.5" thickBot="1" x14ac:dyDescent="0.25">
      <c r="A23" s="80" t="s">
        <v>5</v>
      </c>
      <c r="B23" s="243">
        <f>+AB6</f>
        <v>127.44407620169882</v>
      </c>
      <c r="C23" s="243">
        <f>+AB7</f>
        <v>119.3689301320764</v>
      </c>
      <c r="D23" s="243">
        <f>+AB8</f>
        <v>150.25454779790837</v>
      </c>
      <c r="E23" s="243">
        <f>+AB9</f>
        <v>142.36264545588452</v>
      </c>
      <c r="F23" s="243">
        <f>+AB10</f>
        <v>136.03338734226935</v>
      </c>
      <c r="G23" s="243">
        <f>+AB11</f>
        <v>154.02213138901163</v>
      </c>
      <c r="H23" s="243">
        <f>+AB12</f>
        <v>161.06707541611431</v>
      </c>
      <c r="I23" s="243">
        <f>+AB13</f>
        <v>176.25708867285314</v>
      </c>
      <c r="J23" s="243">
        <f>+AB14</f>
        <v>151.18666224775373</v>
      </c>
      <c r="K23" s="243">
        <f>+AB15</f>
        <v>158.01296214464574</v>
      </c>
      <c r="L23" s="243">
        <f>+AB16</f>
        <v>140.01049491825012</v>
      </c>
      <c r="M23" s="243">
        <f>+AB17</f>
        <v>129.44883267049639</v>
      </c>
      <c r="N23" s="243">
        <f>SUM(B23:M23)</f>
        <v>1745.4688343889625</v>
      </c>
      <c r="O23" s="228">
        <f>+O9/325872</f>
        <v>173.21123631364463</v>
      </c>
      <c r="P23" s="82"/>
      <c r="Q23" s="228">
        <f t="shared" si="47"/>
        <v>4.0721510286247362</v>
      </c>
      <c r="R23" s="232">
        <f>AA18/325851</f>
        <v>1745.5813239793647</v>
      </c>
      <c r="S23" s="60">
        <f>R23/R24</f>
        <v>0.47858262247123956</v>
      </c>
      <c r="T23" s="227"/>
      <c r="V23" s="230">
        <f t="shared" si="48"/>
        <v>42098</v>
      </c>
      <c r="W23" s="231">
        <f t="shared" si="49"/>
        <v>46392000</v>
      </c>
      <c r="X23" s="227">
        <f t="shared" ref="X23:X31" si="52">+V9+W9</f>
        <v>17994000</v>
      </c>
      <c r="Y23" s="79"/>
      <c r="Z23" s="69"/>
      <c r="AA23" s="79"/>
      <c r="AB23" s="232"/>
      <c r="AC23" s="231">
        <f>+AC22-AC17</f>
        <v>3925142</v>
      </c>
      <c r="AD23" s="64">
        <f>+AC23/AC22</f>
        <v>4.288730633230186E-2</v>
      </c>
      <c r="AG23" s="244"/>
      <c r="AH23" s="244"/>
      <c r="AI23" s="244"/>
      <c r="AJ23" s="244"/>
      <c r="AK23" s="244"/>
      <c r="AL23" s="244"/>
      <c r="AM23" s="244"/>
      <c r="AN23" s="244"/>
      <c r="AO23" s="244"/>
      <c r="AP23" s="244"/>
      <c r="AQ23" s="244"/>
      <c r="AR23" s="244"/>
      <c r="AS23" s="244"/>
      <c r="AT23" s="244"/>
      <c r="BF23" s="245" t="s">
        <v>69</v>
      </c>
      <c r="BG23" s="97"/>
      <c r="BN23" s="61"/>
    </row>
    <row r="24" spans="1:120" x14ac:dyDescent="0.2">
      <c r="A24" s="80" t="s">
        <v>4</v>
      </c>
      <c r="B24" s="243">
        <f>+AD6</f>
        <v>302.68048804438553</v>
      </c>
      <c r="C24" s="243">
        <f>+AD7</f>
        <v>266.54886581234348</v>
      </c>
      <c r="D24" s="243">
        <f>+AD8</f>
        <v>339.13975425934109</v>
      </c>
      <c r="E24" s="243">
        <f>+AD9</f>
        <v>320.41320518485787</v>
      </c>
      <c r="F24" s="243">
        <f>+AD10</f>
        <v>287.86726690234201</v>
      </c>
      <c r="G24" s="243">
        <f>+AD11</f>
        <v>313.07844797957478</v>
      </c>
      <c r="H24" s="243">
        <f>+AD12</f>
        <v>315.03777556832131</v>
      </c>
      <c r="I24" s="243">
        <f>+AD13</f>
        <v>343.75457234742476</v>
      </c>
      <c r="J24" s="243">
        <f>+AD14</f>
        <v>296.30836647518043</v>
      </c>
      <c r="K24" s="243">
        <f>+AD15</f>
        <v>304.44357907399223</v>
      </c>
      <c r="L24" s="243">
        <f>+AD16</f>
        <v>289.08240658909017</v>
      </c>
      <c r="M24" s="243">
        <f>+AD17</f>
        <v>268.80827441449401</v>
      </c>
      <c r="N24" s="243">
        <f>SUM(B24:M24)</f>
        <v>3647.1630026513471</v>
      </c>
      <c r="O24" s="228">
        <f>+O10/325872</f>
        <v>146.88408332105857</v>
      </c>
      <c r="P24" s="82"/>
      <c r="Q24" s="228">
        <f t="shared" si="47"/>
        <v>4.1826238523101091</v>
      </c>
      <c r="R24" s="78">
        <f>SUM(R22:R23)</f>
        <v>3647.3980500290008</v>
      </c>
      <c r="S24" s="227"/>
      <c r="T24" s="246"/>
      <c r="V24" s="230">
        <f t="shared" si="48"/>
        <v>42129</v>
      </c>
      <c r="W24" s="231">
        <f t="shared" si="49"/>
        <v>44329472</v>
      </c>
      <c r="X24" s="231">
        <f t="shared" si="52"/>
        <v>11024024</v>
      </c>
      <c r="AB24" s="247"/>
      <c r="BF24" s="227" t="e">
        <f>+#REF!/0.325872</f>
        <v>#REF!</v>
      </c>
      <c r="BG24" s="227"/>
    </row>
    <row r="25" spans="1:120" x14ac:dyDescent="0.2">
      <c r="A25" s="80"/>
      <c r="B25" s="248">
        <f t="shared" ref="B25:N25" si="53">+B22+B23</f>
        <v>302.68048804438553</v>
      </c>
      <c r="C25" s="248">
        <f t="shared" si="53"/>
        <v>266.54886581234348</v>
      </c>
      <c r="D25" s="248">
        <f t="shared" si="53"/>
        <v>339.13975425934109</v>
      </c>
      <c r="E25" s="306">
        <f t="shared" si="53"/>
        <v>320.41320518485782</v>
      </c>
      <c r="F25" s="306">
        <f t="shared" si="53"/>
        <v>287.86726690234201</v>
      </c>
      <c r="G25" s="306">
        <f t="shared" si="53"/>
        <v>313.07844797957478</v>
      </c>
      <c r="H25" s="306">
        <f t="shared" si="53"/>
        <v>315.03777556832131</v>
      </c>
      <c r="I25" s="306">
        <f t="shared" si="53"/>
        <v>343.75457234742476</v>
      </c>
      <c r="J25" s="306">
        <f t="shared" si="53"/>
        <v>296.30836647518049</v>
      </c>
      <c r="K25" s="306">
        <f t="shared" si="53"/>
        <v>304.44357907399223</v>
      </c>
      <c r="L25" s="306">
        <f t="shared" si="53"/>
        <v>289.08240658909017</v>
      </c>
      <c r="M25" s="306">
        <f t="shared" si="53"/>
        <v>268.80827441449401</v>
      </c>
      <c r="N25" s="248">
        <f t="shared" si="53"/>
        <v>3647.1630026513476</v>
      </c>
      <c r="O25" s="228">
        <f t="shared" si="46"/>
        <v>154.29616536554229</v>
      </c>
      <c r="P25" s="249"/>
      <c r="Q25" s="228">
        <f t="shared" si="47"/>
        <v>3.9647468944861788</v>
      </c>
      <c r="S25" s="227"/>
      <c r="V25" s="230">
        <f t="shared" si="48"/>
        <v>42160</v>
      </c>
      <c r="W25" s="231">
        <f t="shared" si="49"/>
        <v>50191500</v>
      </c>
      <c r="X25" s="231">
        <f t="shared" si="52"/>
        <v>13744500</v>
      </c>
      <c r="AC25" s="231">
        <v>95158125</v>
      </c>
      <c r="AD25" s="250"/>
      <c r="AE25" s="64"/>
      <c r="BF25" s="227" t="e">
        <f>+#REF!/0.325872</f>
        <v>#REF!</v>
      </c>
      <c r="BG25" s="227"/>
    </row>
    <row r="26" spans="1:120" x14ac:dyDescent="0.2">
      <c r="A26" s="80" t="s">
        <v>84</v>
      </c>
      <c r="B26" s="249"/>
      <c r="C26" s="249"/>
      <c r="D26" s="249"/>
      <c r="E26" s="307"/>
      <c r="F26" s="307"/>
      <c r="G26" s="307"/>
      <c r="H26" s="307"/>
      <c r="I26" s="307"/>
      <c r="J26" s="307"/>
      <c r="K26" s="307"/>
      <c r="L26" s="307"/>
      <c r="M26" s="307"/>
      <c r="N26" s="249"/>
      <c r="O26" s="82"/>
      <c r="P26" s="249"/>
      <c r="Q26" s="228">
        <f t="shared" si="47"/>
        <v>3.9586095153925469</v>
      </c>
      <c r="R26" s="442">
        <f>R24*325851</f>
        <v>1188508302</v>
      </c>
      <c r="S26" s="442"/>
      <c r="T26" s="80">
        <v>2015</v>
      </c>
      <c r="U26" s="60">
        <f>(R28-R26)/R28</f>
        <v>0.22282413467669346</v>
      </c>
      <c r="V26" s="230">
        <f t="shared" si="48"/>
        <v>42191</v>
      </c>
      <c r="W26" s="231">
        <f t="shared" si="49"/>
        <v>52487250</v>
      </c>
      <c r="X26" s="231">
        <f t="shared" si="52"/>
        <v>10619250</v>
      </c>
      <c r="AB26" s="181"/>
      <c r="AC26" s="231">
        <f>+AC25-AC16</f>
        <v>954263</v>
      </c>
      <c r="AD26" s="64">
        <f>+AC26/AC25</f>
        <v>1.0028182039105962E-2</v>
      </c>
      <c r="AE26" s="64"/>
      <c r="BF26" s="227"/>
      <c r="BG26" s="227"/>
    </row>
    <row r="27" spans="1:120" x14ac:dyDescent="0.2">
      <c r="A27" s="80" t="s">
        <v>30</v>
      </c>
      <c r="B27" s="308">
        <v>220</v>
      </c>
      <c r="C27" s="308">
        <v>210</v>
      </c>
      <c r="D27" s="308">
        <v>220</v>
      </c>
      <c r="E27" s="309">
        <v>190</v>
      </c>
      <c r="F27" s="309">
        <v>190</v>
      </c>
      <c r="G27" s="310">
        <v>190</v>
      </c>
      <c r="H27" s="310">
        <v>190</v>
      </c>
      <c r="I27" s="310">
        <v>170</v>
      </c>
      <c r="J27" s="310">
        <v>190</v>
      </c>
      <c r="K27" s="310">
        <v>190</v>
      </c>
      <c r="L27" s="310">
        <v>190</v>
      </c>
      <c r="M27" s="310">
        <v>190</v>
      </c>
      <c r="N27" s="82">
        <f>SUM(B27:M27)</f>
        <v>2340</v>
      </c>
      <c r="O27" s="252"/>
      <c r="P27" s="249"/>
      <c r="Q27" s="228">
        <f t="shared" si="47"/>
        <v>4.1448789708842737</v>
      </c>
      <c r="R27" s="442">
        <v>1439245507</v>
      </c>
      <c r="S27" s="442"/>
      <c r="T27" s="80">
        <v>2014</v>
      </c>
      <c r="U27" s="60">
        <f>(R28-R27)/R28</f>
        <v>5.8864906174289355E-2</v>
      </c>
      <c r="V27" s="230">
        <f t="shared" si="48"/>
        <v>42222</v>
      </c>
      <c r="W27" s="231">
        <f t="shared" si="49"/>
        <v>57437250</v>
      </c>
      <c r="X27" s="231">
        <f t="shared" si="52"/>
        <v>18067500</v>
      </c>
      <c r="AC27" s="231"/>
      <c r="AD27" s="250"/>
      <c r="BF27" s="227"/>
      <c r="BG27" s="227"/>
    </row>
    <row r="28" spans="1:120" x14ac:dyDescent="0.2">
      <c r="A28" s="80"/>
      <c r="B28" s="251"/>
      <c r="C28" s="253"/>
      <c r="D28" s="253"/>
      <c r="E28" s="311"/>
      <c r="F28" s="311"/>
      <c r="G28" s="312">
        <v>0</v>
      </c>
      <c r="H28" s="312">
        <v>0</v>
      </c>
      <c r="I28" s="312">
        <v>0</v>
      </c>
      <c r="J28" s="312">
        <v>35</v>
      </c>
      <c r="K28" s="312">
        <v>45</v>
      </c>
      <c r="L28" s="312">
        <v>45</v>
      </c>
      <c r="M28" s="312">
        <v>30</v>
      </c>
      <c r="N28" s="82"/>
      <c r="P28" s="249"/>
      <c r="Q28" s="228">
        <f t="shared" si="47"/>
        <v>3.8644007463052978</v>
      </c>
      <c r="R28" s="442">
        <v>1529265582</v>
      </c>
      <c r="S28" s="442"/>
      <c r="T28" s="80">
        <v>2013</v>
      </c>
      <c r="V28" s="230">
        <f t="shared" si="48"/>
        <v>42253</v>
      </c>
      <c r="W28" s="231">
        <f t="shared" si="49"/>
        <v>49267500</v>
      </c>
      <c r="X28" s="231">
        <f t="shared" si="52"/>
        <v>15265500</v>
      </c>
      <c r="AB28" s="181"/>
      <c r="BF28" s="227"/>
      <c r="BG28" s="227"/>
    </row>
    <row r="29" spans="1:120" x14ac:dyDescent="0.2">
      <c r="A29" s="80" t="s">
        <v>5</v>
      </c>
      <c r="B29" s="251">
        <v>80</v>
      </c>
      <c r="C29" s="253">
        <v>90</v>
      </c>
      <c r="D29" s="253">
        <v>135</v>
      </c>
      <c r="E29" s="311">
        <v>145</v>
      </c>
      <c r="F29" s="311">
        <v>180</v>
      </c>
      <c r="G29" s="313">
        <v>205</v>
      </c>
      <c r="H29" s="313">
        <v>235</v>
      </c>
      <c r="I29" s="313">
        <v>190</v>
      </c>
      <c r="J29" s="313">
        <v>170</v>
      </c>
      <c r="K29" s="313">
        <v>140</v>
      </c>
      <c r="L29" s="313">
        <v>75</v>
      </c>
      <c r="M29" s="313">
        <v>60</v>
      </c>
      <c r="N29" s="82">
        <f>SUM(B29:M29)</f>
        <v>1705</v>
      </c>
      <c r="O29" s="255"/>
      <c r="P29" s="249"/>
      <c r="Q29" s="228">
        <f t="shared" si="47"/>
        <v>4.191829920950557</v>
      </c>
      <c r="S29" s="227"/>
      <c r="V29" s="230">
        <f t="shared" si="48"/>
        <v>42284</v>
      </c>
      <c r="W29" s="231">
        <f t="shared" si="49"/>
        <v>51492000</v>
      </c>
      <c r="X29" s="231">
        <f t="shared" si="52"/>
        <v>18943500</v>
      </c>
      <c r="Z29" s="72"/>
      <c r="AB29" s="256"/>
      <c r="BF29" s="227"/>
      <c r="BG29" s="227"/>
    </row>
    <row r="30" spans="1:120" x14ac:dyDescent="0.2">
      <c r="A30" s="80" t="s">
        <v>4</v>
      </c>
      <c r="B30" s="254">
        <f>+B27+B29</f>
        <v>300</v>
      </c>
      <c r="C30" s="254">
        <f>+C27+C29</f>
        <v>300</v>
      </c>
      <c r="D30" s="254">
        <f>+D27+D29</f>
        <v>355</v>
      </c>
      <c r="E30" s="314">
        <f t="shared" ref="E30:M30" si="54">SUM(E27:E29)</f>
        <v>335</v>
      </c>
      <c r="F30" s="314">
        <f t="shared" si="54"/>
        <v>370</v>
      </c>
      <c r="G30" s="315">
        <f t="shared" si="54"/>
        <v>395</v>
      </c>
      <c r="H30" s="315">
        <f t="shared" si="54"/>
        <v>425</v>
      </c>
      <c r="I30" s="315">
        <f t="shared" si="54"/>
        <v>360</v>
      </c>
      <c r="J30" s="315">
        <f t="shared" si="54"/>
        <v>395</v>
      </c>
      <c r="K30" s="315">
        <f t="shared" si="54"/>
        <v>375</v>
      </c>
      <c r="L30" s="315">
        <f t="shared" si="54"/>
        <v>310</v>
      </c>
      <c r="M30" s="315">
        <f t="shared" si="54"/>
        <v>280</v>
      </c>
      <c r="N30" s="82">
        <f>SUM(B30:M30)</f>
        <v>4200</v>
      </c>
      <c r="P30" s="249"/>
      <c r="Q30" s="228">
        <f t="shared" si="47"/>
        <v>3.7990376589581185</v>
      </c>
      <c r="V30" s="230">
        <f t="shared" si="48"/>
        <v>42315</v>
      </c>
      <c r="W30" s="231">
        <f t="shared" si="49"/>
        <v>45625500</v>
      </c>
      <c r="X30" s="231">
        <f t="shared" si="52"/>
        <v>15640500</v>
      </c>
      <c r="Z30" s="61"/>
      <c r="AA30" s="61"/>
      <c r="AB30" s="258"/>
      <c r="AC30" s="258"/>
      <c r="BF30" s="227"/>
      <c r="BG30" s="227"/>
    </row>
    <row r="31" spans="1:120" x14ac:dyDescent="0.2">
      <c r="A31" s="80"/>
      <c r="B31" s="249"/>
      <c r="C31" s="249"/>
      <c r="D31" s="249"/>
      <c r="E31" s="257"/>
      <c r="F31" s="257"/>
      <c r="G31" s="257"/>
      <c r="H31" s="257"/>
      <c r="I31" s="257"/>
      <c r="J31" s="257"/>
      <c r="K31" s="257"/>
      <c r="L31" s="257"/>
      <c r="M31" s="257"/>
      <c r="N31" s="249"/>
      <c r="P31" s="249"/>
      <c r="Q31" s="228">
        <f t="shared" si="47"/>
        <v>3.6824274561791133</v>
      </c>
      <c r="V31" s="230">
        <f t="shared" si="48"/>
        <v>42346</v>
      </c>
      <c r="W31" s="231">
        <f t="shared" si="49"/>
        <v>42183750</v>
      </c>
      <c r="X31" s="231">
        <f t="shared" si="52"/>
        <v>12111750</v>
      </c>
      <c r="Z31" s="258"/>
      <c r="AA31" s="258"/>
      <c r="AB31" s="258"/>
      <c r="BF31" s="227"/>
      <c r="BG31" s="227"/>
    </row>
    <row r="32" spans="1:120" x14ac:dyDescent="0.2">
      <c r="A32" s="80" t="s">
        <v>5</v>
      </c>
      <c r="B32" s="70">
        <f t="shared" ref="B32:M32" si="55">+B23/B24</f>
        <v>0.42105150888685705</v>
      </c>
      <c r="C32" s="70">
        <f t="shared" si="55"/>
        <v>0.44783131891513983</v>
      </c>
      <c r="D32" s="70">
        <f t="shared" si="55"/>
        <v>0.44304610683596918</v>
      </c>
      <c r="E32" s="70">
        <f t="shared" si="55"/>
        <v>0.44430954515045784</v>
      </c>
      <c r="F32" s="70">
        <f t="shared" si="55"/>
        <v>0.47255594151459468</v>
      </c>
      <c r="G32" s="70">
        <f t="shared" si="55"/>
        <v>0.49196018564350374</v>
      </c>
      <c r="H32" s="70">
        <f t="shared" si="55"/>
        <v>0.51126273706558778</v>
      </c>
      <c r="I32" s="70">
        <f t="shared" si="55"/>
        <v>0.51274107416006731</v>
      </c>
      <c r="J32" s="70">
        <f t="shared" si="55"/>
        <v>0.51023419975020357</v>
      </c>
      <c r="K32" s="70">
        <f t="shared" si="55"/>
        <v>0.51902215387581596</v>
      </c>
      <c r="L32" s="70">
        <f t="shared" si="55"/>
        <v>0.48432727736788544</v>
      </c>
      <c r="M32" s="70">
        <f t="shared" si="55"/>
        <v>0.48156565474948998</v>
      </c>
      <c r="N32" s="249"/>
      <c r="P32" s="249"/>
      <c r="Q32" s="228">
        <f t="shared" si="47"/>
        <v>48.129326852261009</v>
      </c>
      <c r="V32" s="230"/>
      <c r="AA32" s="64"/>
      <c r="AB32" s="258"/>
      <c r="AC32" s="258"/>
      <c r="BF32" s="227"/>
      <c r="BG32" s="227"/>
    </row>
    <row r="33" spans="1:59" s="83" customFormat="1" x14ac:dyDescent="0.2">
      <c r="A33" s="80" t="s">
        <v>30</v>
      </c>
      <c r="B33" s="71">
        <f t="shared" ref="B33:M33" si="56">+B22/B24</f>
        <v>0.57894849111314295</v>
      </c>
      <c r="C33" s="71">
        <f t="shared" si="56"/>
        <v>0.55216868108486028</v>
      </c>
      <c r="D33" s="71">
        <f t="shared" si="56"/>
        <v>0.55695389316403077</v>
      </c>
      <c r="E33" s="71">
        <f t="shared" si="56"/>
        <v>0.55569045484954205</v>
      </c>
      <c r="F33" s="71">
        <f t="shared" si="56"/>
        <v>0.52744405848540532</v>
      </c>
      <c r="G33" s="71">
        <f t="shared" si="56"/>
        <v>0.50803981435649637</v>
      </c>
      <c r="H33" s="71">
        <f t="shared" si="56"/>
        <v>0.48873726293441222</v>
      </c>
      <c r="I33" s="71">
        <f t="shared" si="56"/>
        <v>0.48725892583993269</v>
      </c>
      <c r="J33" s="71">
        <f t="shared" si="56"/>
        <v>0.48976580024979655</v>
      </c>
      <c r="K33" s="71">
        <f t="shared" si="56"/>
        <v>0.48097784612418404</v>
      </c>
      <c r="L33" s="71">
        <f t="shared" si="56"/>
        <v>0.51567272263211461</v>
      </c>
      <c r="M33" s="71">
        <f t="shared" si="56"/>
        <v>0.51843434525051013</v>
      </c>
      <c r="N33" s="249"/>
      <c r="O33" s="229"/>
      <c r="P33" s="80"/>
      <c r="Q33" s="80"/>
      <c r="R33" s="80"/>
      <c r="S33" s="80"/>
      <c r="T33" s="246"/>
      <c r="U33" s="82"/>
      <c r="V33" s="61"/>
      <c r="W33" s="61"/>
      <c r="X33" s="61"/>
      <c r="Y33" s="61"/>
      <c r="Z33" s="61"/>
      <c r="AA33" s="61"/>
      <c r="AB33" s="316"/>
      <c r="AC33" s="317" t="s">
        <v>91</v>
      </c>
      <c r="AD33" s="316" t="s">
        <v>92</v>
      </c>
      <c r="AF33" s="84"/>
      <c r="AG33" s="85"/>
      <c r="AH33" s="85"/>
      <c r="AI33" s="85"/>
      <c r="AJ33" s="85"/>
      <c r="AK33" s="85"/>
      <c r="AL33" s="85"/>
      <c r="AM33" s="85"/>
      <c r="AN33" s="85"/>
      <c r="AO33" s="85"/>
      <c r="AP33" s="85"/>
      <c r="AQ33" s="85"/>
      <c r="AR33" s="85"/>
      <c r="AS33" s="85"/>
      <c r="AT33" s="85"/>
      <c r="AU33" s="85"/>
      <c r="AV33" s="85"/>
      <c r="AW33" s="85"/>
      <c r="AX33" s="85"/>
      <c r="AY33" s="85"/>
      <c r="BF33" s="227" t="e">
        <f>+#REF!/0.325872</f>
        <v>#REF!</v>
      </c>
      <c r="BG33" s="227"/>
    </row>
    <row r="34" spans="1:59" s="83" customFormat="1" x14ac:dyDescent="0.2">
      <c r="A34" s="79" t="s">
        <v>85</v>
      </c>
      <c r="B34" s="68">
        <f t="shared" ref="B34:N34" si="57">+(B25-B30)/B30</f>
        <v>8.9349601479517555E-3</v>
      </c>
      <c r="C34" s="59">
        <f t="shared" si="57"/>
        <v>-0.11150378062552174</v>
      </c>
      <c r="D34" s="59">
        <f t="shared" si="57"/>
        <v>-4.4676748565236367E-2</v>
      </c>
      <c r="E34" s="59">
        <f t="shared" si="57"/>
        <v>-4.354267108997667E-2</v>
      </c>
      <c r="F34" s="59">
        <f t="shared" si="57"/>
        <v>-0.22198035972339997</v>
      </c>
      <c r="G34" s="59">
        <f t="shared" si="57"/>
        <v>-0.20739633422892462</v>
      </c>
      <c r="H34" s="59">
        <f t="shared" si="57"/>
        <v>-0.25873464572159693</v>
      </c>
      <c r="I34" s="59">
        <f t="shared" si="57"/>
        <v>-4.5126187923820123E-2</v>
      </c>
      <c r="J34" s="59">
        <f t="shared" si="57"/>
        <v>-0.24985223677169496</v>
      </c>
      <c r="K34" s="59">
        <f t="shared" si="57"/>
        <v>-0.18815045580268741</v>
      </c>
      <c r="L34" s="59">
        <f t="shared" si="57"/>
        <v>-6.747610777712848E-2</v>
      </c>
      <c r="M34" s="59">
        <f t="shared" si="57"/>
        <v>-3.9970448519664255E-2</v>
      </c>
      <c r="N34" s="59">
        <f t="shared" si="57"/>
        <v>-0.1316278565115839</v>
      </c>
      <c r="O34" s="67"/>
      <c r="P34" s="80"/>
      <c r="Q34" s="80"/>
      <c r="R34" s="80"/>
      <c r="S34" s="227"/>
      <c r="T34" s="80"/>
      <c r="U34" s="82"/>
      <c r="V34" s="65"/>
      <c r="W34" s="65"/>
      <c r="X34" s="65"/>
      <c r="Y34" s="65"/>
      <c r="Z34" s="65"/>
      <c r="AB34" s="318">
        <f>+A12</f>
        <v>42191</v>
      </c>
      <c r="AC34" s="319">
        <f>+AC12</f>
        <v>102661990</v>
      </c>
      <c r="AD34" s="76">
        <f>+AD12</f>
        <v>315.03777556832131</v>
      </c>
      <c r="AF34" s="84"/>
      <c r="AG34" s="85"/>
      <c r="AH34" s="85"/>
      <c r="AI34" s="85"/>
      <c r="AJ34" s="85"/>
      <c r="AK34" s="85"/>
      <c r="AL34" s="85"/>
      <c r="AM34" s="85"/>
      <c r="AN34" s="85"/>
      <c r="AO34" s="85"/>
      <c r="AP34" s="85"/>
      <c r="AQ34" s="85"/>
      <c r="AR34" s="85"/>
      <c r="AS34" s="85"/>
      <c r="AT34" s="85"/>
      <c r="AU34" s="85"/>
      <c r="AV34" s="85"/>
      <c r="AW34" s="85"/>
      <c r="AX34" s="85"/>
      <c r="AY34" s="85"/>
      <c r="BF34" s="227"/>
      <c r="BG34" s="227"/>
    </row>
    <row r="35" spans="1:59" s="83" customFormat="1" x14ac:dyDescent="0.2">
      <c r="A35" s="79"/>
      <c r="B35" s="80"/>
      <c r="C35" s="80"/>
      <c r="D35" s="80"/>
      <c r="E35" s="80"/>
      <c r="F35" s="80"/>
      <c r="G35" s="80"/>
      <c r="H35" s="80"/>
      <c r="I35" s="80"/>
      <c r="J35" s="80"/>
      <c r="K35" s="80"/>
      <c r="L35" s="80"/>
      <c r="M35" s="80"/>
      <c r="N35" s="80"/>
      <c r="O35" s="80"/>
      <c r="P35" s="80"/>
      <c r="Q35" s="80"/>
      <c r="R35" s="80"/>
      <c r="S35" s="227"/>
      <c r="T35" s="80"/>
      <c r="U35" s="82"/>
      <c r="AF35" s="84"/>
      <c r="AG35" s="85"/>
      <c r="AH35" s="85"/>
      <c r="AI35" s="85"/>
      <c r="AJ35" s="85"/>
      <c r="AK35" s="85"/>
      <c r="AL35" s="85"/>
      <c r="AM35" s="85"/>
      <c r="AN35" s="85"/>
      <c r="AO35" s="85"/>
      <c r="AP35" s="85"/>
      <c r="AQ35" s="85"/>
      <c r="AR35" s="85"/>
      <c r="AS35" s="85"/>
      <c r="AT35" s="85"/>
      <c r="AU35" s="85"/>
      <c r="AV35" s="85"/>
      <c r="AW35" s="85"/>
      <c r="AX35" s="85"/>
      <c r="AY35" s="85"/>
    </row>
    <row r="36" spans="1:59" s="83" customFormat="1" x14ac:dyDescent="0.2">
      <c r="A36" s="79"/>
      <c r="B36" s="80"/>
      <c r="C36" s="81"/>
      <c r="D36" s="81"/>
      <c r="E36" s="81"/>
      <c r="F36" s="81"/>
      <c r="G36" s="81"/>
      <c r="H36" s="81"/>
      <c r="I36" s="80"/>
      <c r="J36" s="60"/>
      <c r="K36" s="80"/>
      <c r="L36" s="80"/>
      <c r="M36" s="80"/>
      <c r="N36" s="80"/>
      <c r="O36" s="80"/>
      <c r="P36" s="80"/>
      <c r="Q36" s="80"/>
      <c r="R36" s="80"/>
      <c r="S36" s="80"/>
      <c r="T36" s="80"/>
      <c r="U36" s="82"/>
      <c r="Z36" s="250"/>
      <c r="AF36" s="84"/>
      <c r="AG36" s="85"/>
      <c r="AH36" s="85"/>
      <c r="AI36" s="85"/>
      <c r="AJ36" s="85"/>
      <c r="AK36" s="85"/>
      <c r="AL36" s="85"/>
      <c r="AM36" s="85"/>
      <c r="AN36" s="85"/>
      <c r="AO36" s="85"/>
      <c r="AP36" s="85"/>
      <c r="AQ36" s="85"/>
      <c r="AR36" s="85"/>
      <c r="AS36" s="85"/>
      <c r="AT36" s="85"/>
      <c r="AU36" s="85"/>
      <c r="AV36" s="85"/>
      <c r="AW36" s="85"/>
      <c r="AX36" s="85"/>
      <c r="AY36" s="85"/>
    </row>
    <row r="37" spans="1:59" s="83" customFormat="1" x14ac:dyDescent="0.2">
      <c r="A37" s="79"/>
      <c r="B37" s="60"/>
      <c r="C37" s="60"/>
      <c r="D37" s="259"/>
      <c r="E37" s="81"/>
      <c r="F37" s="81"/>
      <c r="G37" s="81"/>
      <c r="H37" s="81"/>
      <c r="I37" s="80"/>
      <c r="J37" s="60"/>
      <c r="K37" s="80"/>
      <c r="L37" s="80"/>
      <c r="M37" s="80"/>
      <c r="N37" s="80"/>
      <c r="O37" s="80"/>
      <c r="P37" s="80"/>
      <c r="Q37" s="80"/>
      <c r="R37" s="80"/>
      <c r="S37" s="80"/>
      <c r="T37" s="80"/>
      <c r="U37" s="82"/>
      <c r="AF37" s="84"/>
      <c r="AG37" s="85"/>
      <c r="AH37" s="85"/>
      <c r="AI37" s="85"/>
      <c r="AJ37" s="85"/>
      <c r="AK37" s="85"/>
      <c r="AL37" s="85"/>
      <c r="AM37" s="85"/>
      <c r="AN37" s="85"/>
      <c r="AO37" s="85"/>
      <c r="AP37" s="85"/>
      <c r="AQ37" s="85"/>
      <c r="AR37" s="85"/>
      <c r="AS37" s="85"/>
      <c r="AT37" s="85"/>
      <c r="AU37" s="85"/>
      <c r="AV37" s="85"/>
      <c r="AW37" s="85"/>
      <c r="AX37" s="85"/>
      <c r="AY37" s="85"/>
    </row>
    <row r="38" spans="1:59" s="83" customFormat="1" x14ac:dyDescent="0.2">
      <c r="A38" s="79"/>
      <c r="B38" s="60"/>
      <c r="C38" s="60"/>
      <c r="D38" s="259"/>
      <c r="E38" s="81"/>
      <c r="F38" s="81"/>
      <c r="G38" s="81"/>
      <c r="H38" s="81"/>
      <c r="I38" s="80"/>
      <c r="J38" s="80"/>
      <c r="K38" s="80"/>
      <c r="L38" s="80"/>
      <c r="M38" s="80"/>
      <c r="N38" s="80"/>
      <c r="O38" s="80"/>
      <c r="P38" s="80"/>
      <c r="Q38" s="80"/>
      <c r="R38" s="80"/>
      <c r="S38" s="80"/>
      <c r="T38" s="80"/>
      <c r="U38" s="82"/>
      <c r="W38" s="83">
        <v>3647</v>
      </c>
      <c r="AF38" s="84"/>
      <c r="AG38" s="85"/>
      <c r="AH38" s="85"/>
      <c r="AI38" s="85"/>
      <c r="AJ38" s="85"/>
      <c r="AK38" s="85"/>
      <c r="AL38" s="85"/>
      <c r="AM38" s="85"/>
      <c r="AN38" s="85"/>
      <c r="AO38" s="85"/>
      <c r="AP38" s="85"/>
      <c r="AQ38" s="85"/>
      <c r="AR38" s="85"/>
      <c r="AS38" s="85"/>
      <c r="AT38" s="85"/>
      <c r="AU38" s="85"/>
      <c r="AV38" s="85"/>
      <c r="AW38" s="85"/>
      <c r="AX38" s="85"/>
      <c r="AY38" s="85"/>
    </row>
    <row r="39" spans="1:59" s="83" customFormat="1" x14ac:dyDescent="0.2">
      <c r="A39" s="79"/>
      <c r="B39" s="80"/>
      <c r="C39" s="81"/>
      <c r="D39" s="81"/>
      <c r="E39" s="81"/>
      <c r="F39" s="81"/>
      <c r="G39" s="81"/>
      <c r="H39" s="81"/>
      <c r="I39" s="80"/>
      <c r="J39" s="80"/>
      <c r="K39" s="80"/>
      <c r="L39" s="80"/>
      <c r="M39" s="80"/>
      <c r="N39" s="80"/>
      <c r="O39" s="80"/>
      <c r="P39" s="80"/>
      <c r="Q39" s="80"/>
      <c r="R39" s="80"/>
      <c r="S39" s="80"/>
      <c r="T39" s="80"/>
      <c r="U39" s="82"/>
      <c r="AF39" s="84"/>
      <c r="AG39" s="85"/>
      <c r="AH39" s="85"/>
      <c r="AI39" s="85"/>
      <c r="AJ39" s="85"/>
      <c r="AK39" s="85"/>
      <c r="AL39" s="85"/>
      <c r="AM39" s="85"/>
      <c r="AN39" s="85"/>
      <c r="AO39" s="85"/>
      <c r="AP39" s="85"/>
      <c r="AQ39" s="85"/>
      <c r="AR39" s="85"/>
      <c r="AS39" s="85"/>
      <c r="AT39" s="85"/>
      <c r="AU39" s="85"/>
      <c r="AV39" s="85"/>
      <c r="AW39" s="85"/>
      <c r="AX39" s="85"/>
      <c r="AY39" s="85"/>
    </row>
    <row r="40" spans="1:59" s="83" customFormat="1" x14ac:dyDescent="0.2">
      <c r="A40" s="79"/>
      <c r="B40" s="260">
        <v>42005</v>
      </c>
      <c r="C40" s="261">
        <v>41671</v>
      </c>
      <c r="D40" s="261">
        <v>41702</v>
      </c>
      <c r="E40" s="261">
        <v>41733</v>
      </c>
      <c r="F40" s="261">
        <v>41764</v>
      </c>
      <c r="G40" s="261">
        <v>41795</v>
      </c>
      <c r="H40" s="261">
        <v>41826</v>
      </c>
      <c r="I40" s="260">
        <v>41857</v>
      </c>
      <c r="J40" s="260">
        <v>41888</v>
      </c>
      <c r="K40" s="260">
        <v>41919</v>
      </c>
      <c r="L40" s="260">
        <v>41950</v>
      </c>
      <c r="M40" s="260">
        <v>41981</v>
      </c>
      <c r="N40" s="80"/>
      <c r="O40" s="80"/>
      <c r="P40" s="80"/>
      <c r="Q40" s="80"/>
      <c r="R40" s="80"/>
      <c r="S40" s="80"/>
      <c r="T40" s="80"/>
      <c r="U40" s="82"/>
      <c r="AF40" s="84"/>
      <c r="AG40" s="85"/>
      <c r="AH40" s="85"/>
      <c r="AI40" s="85"/>
      <c r="AJ40" s="85"/>
      <c r="AK40" s="85"/>
      <c r="AL40" s="85"/>
      <c r="AM40" s="85"/>
      <c r="AN40" s="85"/>
      <c r="AO40" s="85"/>
      <c r="AP40" s="85"/>
      <c r="AQ40" s="85"/>
      <c r="AR40" s="85"/>
      <c r="AS40" s="85"/>
      <c r="AT40" s="85"/>
      <c r="AU40" s="85"/>
      <c r="AV40" s="85"/>
      <c r="AW40" s="85"/>
      <c r="AX40" s="85"/>
      <c r="AY40" s="85"/>
    </row>
    <row r="41" spans="1:59" s="83" customFormat="1" x14ac:dyDescent="0.2">
      <c r="A41" s="79"/>
      <c r="B41" s="262">
        <v>197.52817057003978</v>
      </c>
      <c r="C41" s="262">
        <v>160.23745519713262</v>
      </c>
      <c r="D41" s="262">
        <v>188.23980581332549</v>
      </c>
      <c r="E41" s="262">
        <v>159.90244022192763</v>
      </c>
      <c r="F41" s="262">
        <v>166.68728826042127</v>
      </c>
      <c r="G41" s="262">
        <v>182.02238915893358</v>
      </c>
      <c r="H41" s="262">
        <v>194.95361675749987</v>
      </c>
      <c r="I41" s="262">
        <v>179.56590317670742</v>
      </c>
      <c r="J41" s="262">
        <v>194.10845976334267</v>
      </c>
      <c r="K41" s="262">
        <v>207.11046054892719</v>
      </c>
      <c r="L41" s="262">
        <v>185.86745716109394</v>
      </c>
      <c r="M41" s="262">
        <v>0</v>
      </c>
      <c r="N41" s="80"/>
      <c r="O41" s="80"/>
      <c r="P41" s="80"/>
      <c r="Q41" s="80"/>
      <c r="R41" s="80"/>
      <c r="S41" s="80"/>
      <c r="T41" s="80"/>
      <c r="U41" s="82"/>
      <c r="AF41" s="84"/>
      <c r="AG41" s="85"/>
      <c r="AH41" s="85"/>
      <c r="AI41" s="85"/>
      <c r="AJ41" s="85"/>
      <c r="AK41" s="85"/>
      <c r="AL41" s="85"/>
      <c r="AM41" s="85"/>
      <c r="AN41" s="85"/>
      <c r="AO41" s="85"/>
      <c r="AP41" s="85"/>
      <c r="AQ41" s="85"/>
      <c r="AR41" s="85"/>
      <c r="AS41" s="85"/>
      <c r="AT41" s="85"/>
      <c r="AU41" s="85"/>
      <c r="AV41" s="85"/>
      <c r="AW41" s="85"/>
      <c r="AX41" s="85"/>
      <c r="AY41" s="85"/>
    </row>
    <row r="42" spans="1:59" s="83" customFormat="1" x14ac:dyDescent="0.2">
      <c r="A42" s="79"/>
      <c r="B42" s="262">
        <v>5.0709481023223839</v>
      </c>
      <c r="C42" s="262">
        <v>4.4861786222811411</v>
      </c>
      <c r="D42" s="262">
        <v>4.9157951588353708</v>
      </c>
      <c r="E42" s="262">
        <v>4.9157951588353708</v>
      </c>
      <c r="F42" s="262">
        <v>4.9096577797417389</v>
      </c>
      <c r="G42" s="262">
        <v>4.882898806893504</v>
      </c>
      <c r="H42" s="262">
        <v>5.1487700692296361</v>
      </c>
      <c r="I42" s="262">
        <v>5.1794569646977955</v>
      </c>
      <c r="J42" s="262">
        <v>5.0076103500761038</v>
      </c>
      <c r="K42" s="262">
        <v>4.9547675160799329</v>
      </c>
      <c r="L42" s="262">
        <v>4.9179432415181417</v>
      </c>
      <c r="M42" s="262">
        <v>0</v>
      </c>
      <c r="N42" s="80"/>
      <c r="O42" s="80"/>
      <c r="P42" s="80"/>
      <c r="Q42" s="80"/>
      <c r="R42" s="80"/>
      <c r="S42" s="80"/>
      <c r="T42" s="80"/>
      <c r="U42" s="82"/>
      <c r="AF42" s="84"/>
      <c r="AG42" s="85"/>
      <c r="AH42" s="85"/>
      <c r="AI42" s="85"/>
      <c r="AJ42" s="85"/>
      <c r="AK42" s="85"/>
      <c r="AL42" s="85"/>
      <c r="AM42" s="85"/>
      <c r="AN42" s="85"/>
      <c r="AO42" s="85"/>
      <c r="AP42" s="85"/>
      <c r="AQ42" s="85"/>
      <c r="AR42" s="85"/>
      <c r="AS42" s="85"/>
      <c r="AT42" s="85"/>
      <c r="AU42" s="85"/>
      <c r="AV42" s="85"/>
      <c r="AW42" s="85"/>
      <c r="AX42" s="85"/>
      <c r="AY42" s="85"/>
    </row>
    <row r="43" spans="1:59" s="83" customFormat="1" x14ac:dyDescent="0.2">
      <c r="A43" s="263"/>
      <c r="B43" s="262">
        <v>325872</v>
      </c>
      <c r="C43" s="262"/>
      <c r="D43" s="262"/>
      <c r="E43" s="262"/>
      <c r="F43" s="262"/>
      <c r="G43" s="262"/>
      <c r="H43" s="262"/>
      <c r="I43" s="262"/>
      <c r="J43" s="262"/>
      <c r="K43" s="262"/>
      <c r="L43" s="262"/>
      <c r="M43" s="262"/>
      <c r="N43" s="81"/>
      <c r="O43" s="111"/>
      <c r="P43" s="80"/>
      <c r="Q43" s="80"/>
      <c r="R43" s="80"/>
      <c r="S43" s="80"/>
      <c r="T43" s="80"/>
      <c r="U43" s="82"/>
      <c r="AF43" s="84"/>
      <c r="AG43" s="85"/>
      <c r="AH43" s="85"/>
      <c r="AI43" s="85"/>
      <c r="AJ43" s="85"/>
      <c r="AK43" s="85"/>
      <c r="AL43" s="85"/>
      <c r="AM43" s="85"/>
      <c r="AN43" s="85"/>
      <c r="AO43" s="85"/>
      <c r="AP43" s="85"/>
      <c r="AQ43" s="85"/>
      <c r="AR43" s="85"/>
      <c r="AS43" s="85"/>
      <c r="AT43" s="85"/>
      <c r="AU43" s="85"/>
      <c r="AV43" s="85"/>
      <c r="AW43" s="85"/>
      <c r="AX43" s="85"/>
      <c r="AY43" s="85"/>
    </row>
    <row r="44" spans="1:59" s="83" customFormat="1" x14ac:dyDescent="0.2">
      <c r="A44" s="263"/>
      <c r="B44" s="81"/>
      <c r="C44" s="81"/>
      <c r="D44" s="81"/>
      <c r="E44" s="81"/>
      <c r="F44" s="81"/>
      <c r="G44" s="81"/>
      <c r="H44" s="81"/>
      <c r="I44" s="81"/>
      <c r="J44" s="81"/>
      <c r="K44" s="81"/>
      <c r="L44" s="81"/>
      <c r="M44" s="81"/>
      <c r="N44" s="81"/>
      <c r="O44" s="265"/>
      <c r="P44" s="80"/>
      <c r="Q44" s="80"/>
      <c r="R44" s="80"/>
      <c r="S44" s="80"/>
      <c r="T44" s="80"/>
      <c r="U44" s="82"/>
      <c r="AF44" s="84"/>
      <c r="AG44" s="85"/>
      <c r="AH44" s="85"/>
      <c r="AI44" s="85"/>
      <c r="AJ44" s="85"/>
      <c r="AK44" s="85"/>
      <c r="AL44" s="85"/>
      <c r="AM44" s="85"/>
      <c r="AN44" s="85"/>
      <c r="AO44" s="85"/>
      <c r="AP44" s="85"/>
      <c r="AQ44" s="85"/>
      <c r="AR44" s="85"/>
      <c r="AS44" s="85"/>
      <c r="AT44" s="85"/>
      <c r="AU44" s="85"/>
      <c r="AV44" s="85"/>
      <c r="AW44" s="85"/>
      <c r="AX44" s="85"/>
      <c r="AY44" s="85"/>
    </row>
    <row r="45" spans="1:59" s="83" customFormat="1" x14ac:dyDescent="0.2">
      <c r="A45" s="263"/>
      <c r="B45" s="264"/>
      <c r="C45" s="264"/>
      <c r="D45" s="264"/>
      <c r="E45" s="264"/>
      <c r="F45" s="264"/>
      <c r="G45" s="264"/>
      <c r="H45" s="264"/>
      <c r="I45" s="264"/>
      <c r="J45" s="264"/>
      <c r="K45" s="264"/>
      <c r="L45" s="264"/>
      <c r="M45" s="264"/>
      <c r="N45" s="264"/>
      <c r="O45" s="265"/>
      <c r="P45" s="80"/>
      <c r="Q45" s="80"/>
      <c r="R45" s="80"/>
      <c r="S45" s="80"/>
      <c r="T45" s="80"/>
      <c r="U45" s="82"/>
      <c r="AF45" s="84"/>
      <c r="AG45" s="85"/>
      <c r="AH45" s="85"/>
      <c r="AI45" s="85"/>
      <c r="AJ45" s="85"/>
      <c r="AK45" s="85"/>
      <c r="AL45" s="85"/>
      <c r="AM45" s="85"/>
      <c r="AN45" s="85"/>
      <c r="AO45" s="85"/>
      <c r="AP45" s="85"/>
      <c r="AQ45" s="85"/>
      <c r="AR45" s="85"/>
      <c r="AS45" s="85"/>
      <c r="AT45" s="85"/>
      <c r="AU45" s="85"/>
      <c r="AV45" s="85"/>
      <c r="AW45" s="85"/>
      <c r="AX45" s="85"/>
      <c r="AY45" s="85"/>
    </row>
    <row r="46" spans="1:59" s="83" customFormat="1" x14ac:dyDescent="0.2">
      <c r="A46" s="263"/>
      <c r="B46" s="264"/>
      <c r="C46" s="264"/>
      <c r="D46" s="264"/>
      <c r="E46" s="264"/>
      <c r="F46" s="264"/>
      <c r="G46" s="264"/>
      <c r="H46" s="264"/>
      <c r="I46" s="264"/>
      <c r="J46" s="264"/>
      <c r="K46" s="264"/>
      <c r="L46" s="264"/>
      <c r="M46" s="264"/>
      <c r="N46" s="264"/>
      <c r="O46" s="265"/>
      <c r="P46" s="80"/>
      <c r="Q46" s="80"/>
      <c r="R46" s="80"/>
      <c r="S46" s="80"/>
      <c r="T46" s="80"/>
      <c r="U46" s="82"/>
      <c r="AF46" s="84"/>
      <c r="AG46" s="85"/>
      <c r="AH46" s="85"/>
      <c r="AI46" s="85"/>
      <c r="AJ46" s="85"/>
      <c r="AK46" s="85"/>
      <c r="AL46" s="85"/>
      <c r="AM46" s="85"/>
      <c r="AN46" s="85"/>
      <c r="AO46" s="85"/>
      <c r="AP46" s="85"/>
      <c r="AQ46" s="85"/>
      <c r="AR46" s="85"/>
      <c r="AS46" s="85"/>
      <c r="AT46" s="85"/>
      <c r="AU46" s="85"/>
      <c r="AV46" s="85"/>
      <c r="AW46" s="85"/>
      <c r="AX46" s="85"/>
      <c r="AY46" s="85"/>
    </row>
    <row r="47" spans="1:59" s="83" customFormat="1" x14ac:dyDescent="0.2">
      <c r="A47" s="263"/>
      <c r="B47" s="264"/>
      <c r="C47" s="264"/>
      <c r="D47" s="264"/>
      <c r="E47" s="264"/>
      <c r="F47" s="264"/>
      <c r="G47" s="264"/>
      <c r="H47" s="264"/>
      <c r="I47" s="264"/>
      <c r="J47" s="264"/>
      <c r="K47" s="264"/>
      <c r="L47" s="264"/>
      <c r="M47" s="264"/>
      <c r="N47" s="264"/>
      <c r="O47" s="265"/>
      <c r="P47" s="80"/>
      <c r="Q47" s="80"/>
      <c r="R47" s="80"/>
      <c r="S47" s="80"/>
      <c r="T47" s="80"/>
      <c r="U47" s="82"/>
      <c r="AF47" s="84"/>
      <c r="AG47" s="85"/>
      <c r="AH47" s="85"/>
      <c r="AI47" s="85"/>
      <c r="AJ47" s="85"/>
      <c r="AK47" s="85"/>
      <c r="AL47" s="85"/>
      <c r="AM47" s="85"/>
      <c r="AN47" s="85"/>
      <c r="AO47" s="85"/>
      <c r="AP47" s="85"/>
      <c r="AQ47" s="85"/>
      <c r="AR47" s="85"/>
      <c r="AS47" s="85"/>
      <c r="AT47" s="85"/>
      <c r="AU47" s="85"/>
      <c r="AV47" s="85"/>
      <c r="AW47" s="85"/>
      <c r="AX47" s="85"/>
      <c r="AY47" s="85"/>
    </row>
    <row r="48" spans="1:59" s="83" customFormat="1" x14ac:dyDescent="0.2">
      <c r="A48" s="263"/>
      <c r="B48" s="264"/>
      <c r="C48" s="264"/>
      <c r="D48" s="264"/>
      <c r="E48" s="264"/>
      <c r="F48" s="264"/>
      <c r="G48" s="264"/>
      <c r="H48" s="264"/>
      <c r="I48" s="264"/>
      <c r="J48" s="264"/>
      <c r="K48" s="264"/>
      <c r="L48" s="264"/>
      <c r="M48" s="264"/>
      <c r="N48" s="264"/>
      <c r="O48" s="265"/>
      <c r="P48" s="80"/>
      <c r="Q48" s="80"/>
      <c r="R48" s="80"/>
      <c r="S48" s="80"/>
      <c r="T48" s="80"/>
      <c r="U48" s="82"/>
      <c r="AF48" s="84"/>
      <c r="AG48" s="85"/>
      <c r="AH48" s="85"/>
      <c r="AI48" s="85"/>
      <c r="AJ48" s="85"/>
      <c r="AK48" s="85"/>
      <c r="AL48" s="85"/>
      <c r="AM48" s="85"/>
      <c r="AN48" s="85"/>
      <c r="AO48" s="85"/>
      <c r="AP48" s="85"/>
      <c r="AQ48" s="85"/>
      <c r="AR48" s="85"/>
      <c r="AS48" s="85"/>
      <c r="AT48" s="85"/>
      <c r="AU48" s="85"/>
      <c r="AV48" s="85"/>
      <c r="AW48" s="85"/>
      <c r="AX48" s="85"/>
      <c r="AY48" s="85"/>
    </row>
    <row r="49" spans="1:78" x14ac:dyDescent="0.2">
      <c r="A49" s="263"/>
      <c r="B49" s="264"/>
      <c r="C49" s="264"/>
      <c r="D49" s="264"/>
      <c r="E49" s="264"/>
      <c r="F49" s="264"/>
      <c r="G49" s="264"/>
      <c r="H49" s="264"/>
      <c r="I49" s="264"/>
      <c r="J49" s="264"/>
      <c r="K49" s="264"/>
      <c r="L49" s="264"/>
      <c r="M49" s="264"/>
      <c r="N49" s="264"/>
      <c r="O49" s="265"/>
    </row>
    <row r="50" spans="1:78" x14ac:dyDescent="0.2">
      <c r="A50" s="263"/>
      <c r="B50" s="264"/>
      <c r="C50" s="264"/>
      <c r="D50" s="264"/>
      <c r="E50" s="264"/>
      <c r="F50" s="264"/>
      <c r="G50" s="264"/>
      <c r="H50" s="264"/>
      <c r="I50" s="264"/>
      <c r="J50" s="264"/>
      <c r="K50" s="264"/>
      <c r="L50" s="264"/>
      <c r="M50" s="264"/>
      <c r="N50" s="264"/>
      <c r="O50" s="265"/>
    </row>
    <row r="51" spans="1:78" x14ac:dyDescent="0.2">
      <c r="A51" s="263"/>
      <c r="B51" s="264"/>
      <c r="C51" s="264"/>
      <c r="D51" s="264"/>
      <c r="E51" s="264"/>
      <c r="F51" s="264"/>
      <c r="G51" s="264"/>
      <c r="H51" s="264"/>
      <c r="I51" s="264"/>
      <c r="J51" s="264"/>
      <c r="K51" s="264"/>
      <c r="L51" s="264"/>
      <c r="M51" s="264"/>
      <c r="N51" s="264"/>
      <c r="O51" s="265"/>
    </row>
    <row r="52" spans="1:78" x14ac:dyDescent="0.2">
      <c r="A52" s="263"/>
      <c r="B52" s="264"/>
      <c r="C52" s="264"/>
      <c r="D52" s="264"/>
      <c r="E52" s="264"/>
      <c r="F52" s="264"/>
      <c r="G52" s="264"/>
      <c r="H52" s="264"/>
      <c r="I52" s="264"/>
      <c r="J52" s="264"/>
      <c r="K52" s="264"/>
      <c r="L52" s="264"/>
      <c r="M52" s="264"/>
      <c r="N52" s="264"/>
      <c r="O52" s="265"/>
    </row>
    <row r="53" spans="1:78" x14ac:dyDescent="0.2">
      <c r="A53" s="263"/>
      <c r="B53" s="264"/>
      <c r="C53" s="264"/>
      <c r="D53" s="264"/>
      <c r="E53" s="264"/>
      <c r="F53" s="264"/>
      <c r="G53" s="264"/>
      <c r="H53" s="264"/>
      <c r="I53" s="264"/>
      <c r="J53" s="264"/>
      <c r="K53" s="264"/>
      <c r="L53" s="264"/>
      <c r="M53" s="264"/>
      <c r="N53" s="264"/>
      <c r="O53" s="265"/>
    </row>
    <row r="54" spans="1:78" x14ac:dyDescent="0.2">
      <c r="A54" s="263"/>
      <c r="B54" s="264"/>
      <c r="C54" s="264"/>
      <c r="D54" s="264"/>
      <c r="E54" s="264"/>
      <c r="F54" s="264"/>
      <c r="G54" s="264"/>
      <c r="H54" s="264"/>
      <c r="I54" s="264"/>
      <c r="J54" s="264"/>
      <c r="K54" s="264"/>
      <c r="L54" s="264"/>
      <c r="M54" s="264"/>
      <c r="N54" s="264"/>
      <c r="O54" s="265"/>
    </row>
    <row r="55" spans="1:78" x14ac:dyDescent="0.2">
      <c r="A55" s="263"/>
      <c r="B55" s="264"/>
      <c r="C55" s="264"/>
      <c r="D55" s="264"/>
      <c r="E55" s="264"/>
      <c r="F55" s="264"/>
      <c r="G55" s="264"/>
      <c r="H55" s="264"/>
      <c r="I55" s="264"/>
      <c r="J55" s="264"/>
      <c r="K55" s="264"/>
      <c r="L55" s="264"/>
      <c r="M55" s="264"/>
      <c r="N55" s="264"/>
      <c r="O55" s="265"/>
    </row>
    <row r="56" spans="1:78" s="256" customFormat="1" x14ac:dyDescent="0.2">
      <c r="A56" s="263"/>
      <c r="B56" s="266"/>
      <c r="C56" s="266"/>
      <c r="D56" s="266"/>
      <c r="E56" s="266"/>
      <c r="F56" s="266"/>
      <c r="G56" s="266"/>
      <c r="H56" s="266"/>
      <c r="I56" s="266"/>
      <c r="J56" s="266"/>
      <c r="K56" s="266"/>
      <c r="L56" s="266"/>
      <c r="M56" s="266"/>
      <c r="N56" s="266"/>
      <c r="O56" s="265"/>
      <c r="P56" s="265"/>
      <c r="Q56" s="265"/>
      <c r="R56" s="265"/>
      <c r="S56" s="265"/>
      <c r="T56" s="265"/>
      <c r="U56" s="265"/>
      <c r="AF56" s="267"/>
      <c r="AG56" s="268"/>
      <c r="AH56" s="268"/>
      <c r="AI56" s="268"/>
      <c r="AJ56" s="268"/>
      <c r="AK56" s="268"/>
      <c r="AL56" s="268"/>
      <c r="AM56" s="268"/>
      <c r="AN56" s="268"/>
      <c r="AO56" s="268"/>
      <c r="AP56" s="268"/>
      <c r="AQ56" s="268"/>
      <c r="AR56" s="268"/>
      <c r="AS56" s="268"/>
      <c r="AT56" s="268"/>
      <c r="AU56" s="268"/>
      <c r="AV56" s="268"/>
      <c r="AW56" s="268"/>
      <c r="AX56" s="268"/>
      <c r="AY56" s="268"/>
      <c r="BU56" s="265"/>
      <c r="BV56" s="265"/>
      <c r="BW56" s="265"/>
      <c r="BX56" s="265"/>
      <c r="BY56" s="265"/>
      <c r="BZ56" s="265"/>
    </row>
    <row r="57" spans="1:78" x14ac:dyDescent="0.2">
      <c r="A57" s="264"/>
      <c r="B57" s="264"/>
      <c r="C57" s="264"/>
      <c r="D57" s="264"/>
      <c r="E57" s="264"/>
      <c r="F57" s="264"/>
      <c r="G57" s="264"/>
      <c r="H57" s="264"/>
      <c r="I57" s="264"/>
      <c r="J57" s="264"/>
      <c r="K57" s="264"/>
      <c r="L57" s="264"/>
      <c r="M57" s="264"/>
      <c r="N57" s="264"/>
    </row>
    <row r="58" spans="1:78" x14ac:dyDescent="0.2">
      <c r="A58" s="263"/>
      <c r="B58" s="269"/>
      <c r="C58" s="269"/>
      <c r="D58" s="269"/>
      <c r="E58" s="269"/>
      <c r="F58" s="269"/>
      <c r="G58" s="269"/>
      <c r="H58" s="269"/>
      <c r="I58" s="269"/>
      <c r="J58" s="269"/>
      <c r="K58" s="269"/>
      <c r="L58" s="269"/>
      <c r="M58" s="269"/>
      <c r="N58" s="269"/>
    </row>
    <row r="59" spans="1:78" x14ac:dyDescent="0.2">
      <c r="A59" s="263"/>
      <c r="B59" s="63"/>
      <c r="C59" s="63"/>
      <c r="D59" s="63"/>
      <c r="E59" s="63"/>
      <c r="F59" s="63"/>
      <c r="G59" s="63"/>
      <c r="H59" s="63"/>
      <c r="I59" s="63"/>
      <c r="J59" s="63"/>
      <c r="K59" s="63"/>
      <c r="L59" s="63"/>
      <c r="M59" s="63"/>
      <c r="N59" s="63"/>
    </row>
    <row r="60" spans="1:78" x14ac:dyDescent="0.2">
      <c r="C60" s="81"/>
      <c r="D60" s="81"/>
      <c r="E60" s="81"/>
      <c r="F60" s="81"/>
      <c r="G60" s="81"/>
      <c r="H60" s="81"/>
    </row>
    <row r="61" spans="1:78" x14ac:dyDescent="0.2">
      <c r="C61" s="81"/>
      <c r="D61" s="81"/>
      <c r="E61" s="81"/>
      <c r="F61" s="81"/>
      <c r="G61" s="81"/>
      <c r="H61" s="81"/>
    </row>
    <row r="62" spans="1:78" x14ac:dyDescent="0.2">
      <c r="C62" s="81"/>
      <c r="D62" s="81"/>
      <c r="E62" s="81"/>
      <c r="F62" s="81"/>
      <c r="G62" s="81"/>
      <c r="H62" s="81"/>
    </row>
    <row r="63" spans="1:78" x14ac:dyDescent="0.2">
      <c r="C63" s="81"/>
      <c r="D63" s="81"/>
      <c r="E63" s="81"/>
      <c r="F63" s="81"/>
      <c r="G63" s="81"/>
      <c r="H63" s="81"/>
    </row>
    <row r="64" spans="1:78" x14ac:dyDescent="0.2">
      <c r="C64" s="81"/>
      <c r="D64" s="81"/>
      <c r="E64" s="81"/>
      <c r="F64" s="81"/>
      <c r="G64" s="81"/>
      <c r="H64" s="81"/>
    </row>
    <row r="65" spans="3:8" s="83" customFormat="1" x14ac:dyDescent="0.2">
      <c r="C65" s="81"/>
      <c r="D65" s="81"/>
      <c r="E65" s="81"/>
      <c r="F65" s="81"/>
      <c r="G65" s="81"/>
      <c r="H65" s="81"/>
    </row>
    <row r="66" spans="3:8" s="83" customFormat="1" x14ac:dyDescent="0.2">
      <c r="C66" s="81"/>
      <c r="D66" s="81"/>
      <c r="E66" s="81"/>
      <c r="F66" s="81"/>
      <c r="G66" s="81"/>
      <c r="H66" s="81"/>
    </row>
    <row r="67" spans="3:8" s="83" customFormat="1" x14ac:dyDescent="0.2">
      <c r="C67" s="81"/>
      <c r="D67" s="81"/>
      <c r="E67" s="81"/>
      <c r="F67" s="81"/>
      <c r="G67" s="81"/>
      <c r="H67" s="81"/>
    </row>
    <row r="68" spans="3:8" s="83" customFormat="1" x14ac:dyDescent="0.2">
      <c r="C68" s="81"/>
      <c r="D68" s="81"/>
      <c r="E68" s="81"/>
      <c r="F68" s="81"/>
      <c r="G68" s="81"/>
      <c r="H68" s="81"/>
    </row>
    <row r="69" spans="3:8" s="83" customFormat="1" x14ac:dyDescent="0.2">
      <c r="C69" s="81"/>
      <c r="D69" s="81"/>
      <c r="E69" s="81"/>
      <c r="F69" s="81"/>
      <c r="G69" s="81"/>
      <c r="H69" s="81"/>
    </row>
    <row r="70" spans="3:8" s="83" customFormat="1" x14ac:dyDescent="0.2">
      <c r="C70" s="81"/>
      <c r="D70" s="81"/>
      <c r="E70" s="81"/>
      <c r="F70" s="81"/>
      <c r="G70" s="81"/>
      <c r="H70" s="81"/>
    </row>
    <row r="71" spans="3:8" s="83" customFormat="1" x14ac:dyDescent="0.2">
      <c r="C71" s="81"/>
      <c r="D71" s="81"/>
      <c r="E71" s="81"/>
      <c r="F71" s="81"/>
      <c r="G71" s="81"/>
      <c r="H71" s="81"/>
    </row>
    <row r="72" spans="3:8" s="83" customFormat="1" x14ac:dyDescent="0.2">
      <c r="C72" s="81"/>
      <c r="D72" s="81"/>
      <c r="E72" s="81"/>
      <c r="F72" s="81"/>
      <c r="G72" s="81"/>
      <c r="H72" s="81"/>
    </row>
    <row r="73" spans="3:8" s="83" customFormat="1" x14ac:dyDescent="0.2">
      <c r="C73" s="81"/>
      <c r="D73" s="81"/>
      <c r="E73" s="81"/>
      <c r="F73" s="81"/>
      <c r="G73" s="81"/>
      <c r="H73" s="81"/>
    </row>
    <row r="74" spans="3:8" s="83" customFormat="1" x14ac:dyDescent="0.2">
      <c r="C74" s="81"/>
      <c r="D74" s="81"/>
      <c r="E74" s="81"/>
      <c r="F74" s="81"/>
      <c r="G74" s="81"/>
      <c r="H74" s="81"/>
    </row>
    <row r="75" spans="3:8" s="83" customFormat="1" x14ac:dyDescent="0.2">
      <c r="C75" s="81"/>
      <c r="D75" s="81"/>
      <c r="E75" s="81"/>
      <c r="F75" s="81"/>
      <c r="G75" s="81"/>
      <c r="H75" s="81"/>
    </row>
    <row r="76" spans="3:8" s="83" customFormat="1" x14ac:dyDescent="0.2">
      <c r="C76" s="81"/>
      <c r="D76" s="81"/>
      <c r="E76" s="81"/>
      <c r="F76" s="81"/>
      <c r="G76" s="81"/>
      <c r="H76" s="81"/>
    </row>
    <row r="77" spans="3:8" s="83" customFormat="1" x14ac:dyDescent="0.2">
      <c r="C77" s="81"/>
      <c r="D77" s="81"/>
      <c r="E77" s="81"/>
      <c r="F77" s="81"/>
      <c r="G77" s="81"/>
      <c r="H77" s="81"/>
    </row>
    <row r="78" spans="3:8" s="83" customFormat="1" x14ac:dyDescent="0.2">
      <c r="C78" s="81"/>
      <c r="D78" s="81"/>
      <c r="E78" s="81"/>
      <c r="F78" s="81"/>
      <c r="G78" s="81"/>
      <c r="H78" s="81"/>
    </row>
    <row r="79" spans="3:8" s="83" customFormat="1" x14ac:dyDescent="0.2">
      <c r="C79" s="81"/>
      <c r="D79" s="81"/>
      <c r="E79" s="81"/>
      <c r="F79" s="81"/>
      <c r="G79" s="81"/>
      <c r="H79" s="81"/>
    </row>
    <row r="80" spans="3:8" s="83" customFormat="1" x14ac:dyDescent="0.2">
      <c r="C80" s="81"/>
      <c r="D80" s="81"/>
      <c r="E80" s="81"/>
      <c r="F80" s="81"/>
      <c r="G80" s="81"/>
      <c r="H80" s="81"/>
    </row>
    <row r="81" spans="3:8" s="83" customFormat="1" x14ac:dyDescent="0.2">
      <c r="C81" s="81"/>
      <c r="D81" s="81"/>
      <c r="E81" s="81"/>
      <c r="F81" s="81"/>
      <c r="G81" s="81"/>
      <c r="H81" s="81"/>
    </row>
    <row r="82" spans="3:8" s="83" customFormat="1" x14ac:dyDescent="0.2">
      <c r="C82" s="81"/>
      <c r="D82" s="81"/>
      <c r="E82" s="81"/>
      <c r="F82" s="81"/>
      <c r="G82" s="81"/>
      <c r="H82" s="81"/>
    </row>
    <row r="83" spans="3:8" s="83" customFormat="1" x14ac:dyDescent="0.2">
      <c r="C83" s="81"/>
      <c r="D83" s="81"/>
      <c r="E83" s="81"/>
      <c r="F83" s="81"/>
      <c r="G83" s="81"/>
      <c r="H83" s="81"/>
    </row>
    <row r="84" spans="3:8" s="83" customFormat="1" x14ac:dyDescent="0.2">
      <c r="C84" s="81"/>
      <c r="D84" s="81"/>
      <c r="E84" s="81"/>
      <c r="F84" s="81"/>
      <c r="G84" s="81"/>
      <c r="H84" s="81"/>
    </row>
    <row r="85" spans="3:8" s="83" customFormat="1" x14ac:dyDescent="0.2">
      <c r="C85" s="81"/>
      <c r="D85" s="81"/>
      <c r="E85" s="81"/>
      <c r="F85" s="81"/>
      <c r="G85" s="81"/>
      <c r="H85" s="81"/>
    </row>
    <row r="86" spans="3:8" s="83" customFormat="1" x14ac:dyDescent="0.2">
      <c r="C86" s="81"/>
      <c r="D86" s="81"/>
      <c r="E86" s="81"/>
      <c r="F86" s="81"/>
      <c r="G86" s="81"/>
      <c r="H86" s="81"/>
    </row>
    <row r="87" spans="3:8" s="83" customFormat="1" x14ac:dyDescent="0.2">
      <c r="C87" s="81"/>
      <c r="D87" s="81"/>
      <c r="E87" s="81"/>
      <c r="F87" s="81"/>
      <c r="G87" s="81"/>
      <c r="H87" s="81"/>
    </row>
    <row r="88" spans="3:8" s="83" customFormat="1" x14ac:dyDescent="0.2">
      <c r="C88" s="81"/>
      <c r="D88" s="81"/>
      <c r="E88" s="81"/>
      <c r="F88" s="81"/>
      <c r="G88" s="81"/>
      <c r="H88" s="81"/>
    </row>
    <row r="89" spans="3:8" s="83" customFormat="1" x14ac:dyDescent="0.2">
      <c r="C89" s="81"/>
      <c r="D89" s="81"/>
      <c r="E89" s="81"/>
      <c r="F89" s="81"/>
      <c r="G89" s="81"/>
      <c r="H89" s="81"/>
    </row>
    <row r="90" spans="3:8" s="83" customFormat="1" x14ac:dyDescent="0.2">
      <c r="C90" s="81"/>
      <c r="D90" s="81"/>
      <c r="E90" s="81"/>
      <c r="F90" s="81"/>
      <c r="G90" s="81"/>
      <c r="H90" s="81"/>
    </row>
    <row r="91" spans="3:8" s="83" customFormat="1" x14ac:dyDescent="0.2">
      <c r="C91" s="81"/>
      <c r="D91" s="81"/>
      <c r="E91" s="81"/>
      <c r="F91" s="81"/>
      <c r="G91" s="81"/>
      <c r="H91" s="81"/>
    </row>
    <row r="92" spans="3:8" s="83" customFormat="1" x14ac:dyDescent="0.2">
      <c r="C92" s="81"/>
      <c r="D92" s="81"/>
      <c r="E92" s="81"/>
      <c r="F92" s="81"/>
      <c r="G92" s="81"/>
      <c r="H92" s="81"/>
    </row>
    <row r="93" spans="3:8" s="83" customFormat="1" x14ac:dyDescent="0.2">
      <c r="C93" s="81"/>
      <c r="D93" s="81"/>
      <c r="E93" s="81"/>
      <c r="F93" s="81"/>
      <c r="G93" s="81"/>
      <c r="H93" s="81"/>
    </row>
    <row r="94" spans="3:8" s="83" customFormat="1" x14ac:dyDescent="0.2">
      <c r="C94" s="81"/>
      <c r="D94" s="81"/>
      <c r="E94" s="81"/>
      <c r="F94" s="81"/>
      <c r="G94" s="81"/>
      <c r="H94" s="81"/>
    </row>
    <row r="95" spans="3:8" s="83" customFormat="1" x14ac:dyDescent="0.2">
      <c r="C95" s="81"/>
      <c r="D95" s="81"/>
      <c r="E95" s="81"/>
      <c r="F95" s="81"/>
      <c r="G95" s="81"/>
      <c r="H95" s="81"/>
    </row>
    <row r="96" spans="3:8" s="83" customFormat="1" x14ac:dyDescent="0.2">
      <c r="C96" s="81"/>
      <c r="D96" s="81"/>
      <c r="E96" s="81"/>
      <c r="F96" s="81"/>
      <c r="G96" s="81"/>
      <c r="H96" s="81"/>
    </row>
    <row r="97" spans="3:8" s="83" customFormat="1" x14ac:dyDescent="0.2">
      <c r="C97" s="81"/>
      <c r="D97" s="81"/>
      <c r="E97" s="81"/>
      <c r="F97" s="81"/>
      <c r="G97" s="81"/>
      <c r="H97" s="81"/>
    </row>
    <row r="98" spans="3:8" s="83" customFormat="1" x14ac:dyDescent="0.2">
      <c r="C98" s="81"/>
      <c r="D98" s="81"/>
      <c r="E98" s="81"/>
      <c r="F98" s="81"/>
      <c r="G98" s="81"/>
      <c r="H98" s="81"/>
    </row>
    <row r="99" spans="3:8" s="83" customFormat="1" x14ac:dyDescent="0.2">
      <c r="C99" s="81"/>
      <c r="D99" s="81"/>
      <c r="E99" s="81"/>
      <c r="F99" s="81"/>
      <c r="G99" s="81"/>
      <c r="H99" s="81"/>
    </row>
    <row r="100" spans="3:8" s="83" customFormat="1" x14ac:dyDescent="0.2">
      <c r="C100" s="81"/>
      <c r="D100" s="81"/>
      <c r="E100" s="81"/>
      <c r="F100" s="81"/>
      <c r="G100" s="81"/>
      <c r="H100" s="81"/>
    </row>
    <row r="101" spans="3:8" s="83" customFormat="1" x14ac:dyDescent="0.2">
      <c r="C101" s="81"/>
      <c r="D101" s="81"/>
      <c r="E101" s="81"/>
      <c r="F101" s="81"/>
      <c r="G101" s="81"/>
      <c r="H101" s="81"/>
    </row>
    <row r="102" spans="3:8" s="83" customFormat="1" x14ac:dyDescent="0.2">
      <c r="C102" s="81"/>
      <c r="D102" s="81"/>
      <c r="E102" s="81"/>
      <c r="F102" s="81"/>
      <c r="G102" s="81"/>
      <c r="H102" s="81"/>
    </row>
    <row r="103" spans="3:8" s="83" customFormat="1" x14ac:dyDescent="0.2">
      <c r="C103" s="81"/>
      <c r="D103" s="81"/>
      <c r="E103" s="81"/>
      <c r="F103" s="81"/>
      <c r="G103" s="81"/>
      <c r="H103" s="81"/>
    </row>
    <row r="104" spans="3:8" s="83" customFormat="1" x14ac:dyDescent="0.2">
      <c r="C104" s="81"/>
      <c r="D104" s="81"/>
      <c r="E104" s="81"/>
      <c r="F104" s="81"/>
      <c r="G104" s="81"/>
      <c r="H104" s="81"/>
    </row>
    <row r="105" spans="3:8" s="83" customFormat="1" x14ac:dyDescent="0.2">
      <c r="C105" s="81"/>
      <c r="D105" s="81"/>
      <c r="E105" s="81"/>
      <c r="F105" s="81"/>
      <c r="G105" s="81"/>
      <c r="H105" s="81"/>
    </row>
    <row r="106" spans="3:8" s="83" customFormat="1" x14ac:dyDescent="0.2">
      <c r="C106" s="81"/>
      <c r="D106" s="81"/>
      <c r="E106" s="81"/>
      <c r="F106" s="81"/>
      <c r="G106" s="81"/>
      <c r="H106" s="81"/>
    </row>
    <row r="107" spans="3:8" s="83" customFormat="1" x14ac:dyDescent="0.2">
      <c r="C107" s="81"/>
      <c r="D107" s="81"/>
      <c r="E107" s="81"/>
      <c r="F107" s="81"/>
      <c r="G107" s="81"/>
      <c r="H107" s="81"/>
    </row>
    <row r="108" spans="3:8" s="83" customFormat="1" x14ac:dyDescent="0.2">
      <c r="C108" s="81"/>
      <c r="D108" s="81"/>
      <c r="E108" s="81"/>
      <c r="F108" s="81"/>
      <c r="G108" s="81"/>
      <c r="H108" s="81"/>
    </row>
    <row r="109" spans="3:8" s="83" customFormat="1" x14ac:dyDescent="0.2">
      <c r="C109" s="81"/>
      <c r="D109" s="81"/>
      <c r="E109" s="81"/>
      <c r="F109" s="81"/>
      <c r="G109" s="81"/>
      <c r="H109" s="81"/>
    </row>
    <row r="110" spans="3:8" s="83" customFormat="1" x14ac:dyDescent="0.2">
      <c r="C110" s="81"/>
      <c r="D110" s="81"/>
      <c r="E110" s="81"/>
      <c r="F110" s="81"/>
      <c r="G110" s="81"/>
      <c r="H110" s="81"/>
    </row>
    <row r="111" spans="3:8" s="83" customFormat="1" x14ac:dyDescent="0.2">
      <c r="C111" s="81"/>
      <c r="D111" s="81"/>
      <c r="E111" s="81"/>
      <c r="F111" s="81"/>
      <c r="G111" s="81"/>
      <c r="H111" s="81"/>
    </row>
    <row r="112" spans="3:8" s="83" customFormat="1" x14ac:dyDescent="0.2">
      <c r="C112" s="81"/>
      <c r="D112" s="81"/>
      <c r="E112" s="81"/>
      <c r="F112" s="81"/>
      <c r="G112" s="81"/>
      <c r="H112" s="81"/>
    </row>
    <row r="113" spans="3:8" s="83" customFormat="1" x14ac:dyDescent="0.2">
      <c r="C113" s="81"/>
      <c r="D113" s="81"/>
      <c r="E113" s="81"/>
      <c r="F113" s="81"/>
      <c r="G113" s="81"/>
      <c r="H113" s="81"/>
    </row>
    <row r="114" spans="3:8" s="83" customFormat="1" x14ac:dyDescent="0.2">
      <c r="C114" s="81"/>
      <c r="D114" s="81"/>
      <c r="E114" s="81"/>
      <c r="F114" s="81"/>
      <c r="G114" s="81"/>
      <c r="H114" s="81"/>
    </row>
    <row r="115" spans="3:8" s="83" customFormat="1" x14ac:dyDescent="0.2">
      <c r="C115" s="81"/>
      <c r="D115" s="81"/>
      <c r="E115" s="81"/>
      <c r="F115" s="81"/>
      <c r="G115" s="81"/>
      <c r="H115" s="81"/>
    </row>
    <row r="116" spans="3:8" s="83" customFormat="1" x14ac:dyDescent="0.2">
      <c r="C116" s="81"/>
      <c r="D116" s="81"/>
      <c r="E116" s="81"/>
      <c r="F116" s="81"/>
      <c r="G116" s="81"/>
      <c r="H116" s="81"/>
    </row>
    <row r="117" spans="3:8" s="83" customFormat="1" x14ac:dyDescent="0.2">
      <c r="C117" s="81"/>
      <c r="D117" s="81"/>
      <c r="E117" s="81"/>
      <c r="F117" s="81"/>
      <c r="G117" s="81"/>
      <c r="H117" s="81"/>
    </row>
    <row r="118" spans="3:8" s="83" customFormat="1" x14ac:dyDescent="0.2">
      <c r="C118" s="81"/>
      <c r="D118" s="81"/>
      <c r="E118" s="81"/>
      <c r="F118" s="81"/>
      <c r="G118" s="81"/>
      <c r="H118" s="81"/>
    </row>
    <row r="119" spans="3:8" s="83" customFormat="1" x14ac:dyDescent="0.2">
      <c r="C119" s="81"/>
      <c r="D119" s="81"/>
      <c r="E119" s="81"/>
      <c r="F119" s="81"/>
      <c r="G119" s="81"/>
      <c r="H119" s="81"/>
    </row>
    <row r="120" spans="3:8" s="83" customFormat="1" x14ac:dyDescent="0.2">
      <c r="C120" s="81"/>
      <c r="D120" s="81"/>
      <c r="E120" s="81"/>
      <c r="F120" s="81"/>
      <c r="G120" s="81"/>
      <c r="H120" s="81"/>
    </row>
    <row r="121" spans="3:8" s="83" customFormat="1" x14ac:dyDescent="0.2">
      <c r="C121" s="81"/>
      <c r="D121" s="81"/>
      <c r="E121" s="81"/>
      <c r="F121" s="81"/>
      <c r="G121" s="81"/>
      <c r="H121" s="81"/>
    </row>
    <row r="122" spans="3:8" s="83" customFormat="1" x14ac:dyDescent="0.2">
      <c r="C122" s="81"/>
      <c r="D122" s="81"/>
      <c r="E122" s="81"/>
      <c r="F122" s="81"/>
      <c r="G122" s="81"/>
      <c r="H122" s="81"/>
    </row>
    <row r="123" spans="3:8" s="83" customFormat="1" x14ac:dyDescent="0.2">
      <c r="C123" s="81"/>
      <c r="D123" s="81"/>
      <c r="E123" s="81"/>
      <c r="F123" s="81"/>
      <c r="G123" s="81"/>
      <c r="H123" s="81"/>
    </row>
    <row r="124" spans="3:8" s="83" customFormat="1" x14ac:dyDescent="0.2">
      <c r="C124" s="81"/>
      <c r="D124" s="81"/>
      <c r="E124" s="81"/>
      <c r="F124" s="81"/>
      <c r="G124" s="81"/>
      <c r="H124" s="81"/>
    </row>
    <row r="125" spans="3:8" s="83" customFormat="1" x14ac:dyDescent="0.2">
      <c r="C125" s="81"/>
      <c r="D125" s="81"/>
      <c r="E125" s="81"/>
      <c r="F125" s="81"/>
      <c r="G125" s="81"/>
      <c r="H125" s="81"/>
    </row>
    <row r="126" spans="3:8" s="83" customFormat="1" x14ac:dyDescent="0.2">
      <c r="C126" s="81"/>
      <c r="D126" s="81"/>
      <c r="E126" s="81"/>
      <c r="F126" s="81"/>
      <c r="G126" s="81"/>
      <c r="H126" s="81"/>
    </row>
    <row r="127" spans="3:8" s="83" customFormat="1" x14ac:dyDescent="0.2">
      <c r="C127" s="81"/>
      <c r="D127" s="81"/>
      <c r="E127" s="81"/>
      <c r="F127" s="81"/>
      <c r="G127" s="81"/>
      <c r="H127" s="81"/>
    </row>
    <row r="128" spans="3:8" s="83" customFormat="1" x14ac:dyDescent="0.2">
      <c r="C128" s="81"/>
      <c r="D128" s="81"/>
      <c r="E128" s="81"/>
      <c r="F128" s="81"/>
      <c r="G128" s="81"/>
      <c r="H128" s="81"/>
    </row>
    <row r="129" spans="3:8" s="83" customFormat="1" x14ac:dyDescent="0.2">
      <c r="C129" s="81"/>
      <c r="D129" s="81"/>
      <c r="E129" s="81"/>
      <c r="F129" s="81"/>
      <c r="G129" s="81"/>
      <c r="H129" s="81"/>
    </row>
    <row r="130" spans="3:8" s="83" customFormat="1" x14ac:dyDescent="0.2">
      <c r="C130" s="81"/>
      <c r="D130" s="81"/>
      <c r="E130" s="81"/>
      <c r="F130" s="81"/>
      <c r="G130" s="81"/>
      <c r="H130" s="81"/>
    </row>
    <row r="131" spans="3:8" s="83" customFormat="1" x14ac:dyDescent="0.2">
      <c r="C131" s="81"/>
      <c r="D131" s="81"/>
      <c r="E131" s="81"/>
      <c r="F131" s="81"/>
      <c r="G131" s="81"/>
      <c r="H131" s="81"/>
    </row>
    <row r="132" spans="3:8" s="83" customFormat="1" x14ac:dyDescent="0.2">
      <c r="C132" s="81"/>
      <c r="D132" s="81"/>
      <c r="E132" s="81"/>
      <c r="F132" s="81"/>
      <c r="G132" s="81"/>
      <c r="H132" s="81"/>
    </row>
    <row r="133" spans="3:8" s="83" customFormat="1" x14ac:dyDescent="0.2">
      <c r="C133" s="81"/>
      <c r="D133" s="81"/>
      <c r="E133" s="81"/>
      <c r="F133" s="81"/>
      <c r="G133" s="81"/>
      <c r="H133" s="81"/>
    </row>
    <row r="134" spans="3:8" s="83" customFormat="1" x14ac:dyDescent="0.2">
      <c r="C134" s="81"/>
      <c r="D134" s="81"/>
      <c r="E134" s="81"/>
      <c r="F134" s="81"/>
      <c r="G134" s="81"/>
      <c r="H134" s="81"/>
    </row>
    <row r="135" spans="3:8" s="83" customFormat="1" x14ac:dyDescent="0.2">
      <c r="C135" s="81"/>
      <c r="D135" s="81"/>
      <c r="E135" s="81"/>
      <c r="F135" s="81"/>
      <c r="G135" s="81"/>
      <c r="H135" s="81"/>
    </row>
    <row r="136" spans="3:8" s="83" customFormat="1" x14ac:dyDescent="0.2">
      <c r="C136" s="81"/>
      <c r="D136" s="81"/>
      <c r="E136" s="81"/>
      <c r="F136" s="81"/>
      <c r="G136" s="81"/>
      <c r="H136" s="81"/>
    </row>
    <row r="137" spans="3:8" s="83" customFormat="1" x14ac:dyDescent="0.2">
      <c r="C137" s="81"/>
      <c r="D137" s="81"/>
      <c r="E137" s="81"/>
      <c r="F137" s="81"/>
      <c r="G137" s="81"/>
      <c r="H137" s="81"/>
    </row>
    <row r="138" spans="3:8" s="83" customFormat="1" x14ac:dyDescent="0.2">
      <c r="C138" s="81"/>
      <c r="D138" s="81"/>
      <c r="E138" s="81"/>
      <c r="F138" s="81"/>
      <c r="G138" s="81"/>
      <c r="H138" s="81"/>
    </row>
    <row r="139" spans="3:8" s="83" customFormat="1" x14ac:dyDescent="0.2">
      <c r="C139" s="81"/>
      <c r="D139" s="81"/>
      <c r="E139" s="81"/>
      <c r="F139" s="81"/>
      <c r="G139" s="81"/>
      <c r="H139" s="81"/>
    </row>
    <row r="140" spans="3:8" s="83" customFormat="1" x14ac:dyDescent="0.2">
      <c r="C140" s="81"/>
      <c r="D140" s="81"/>
      <c r="E140" s="81"/>
      <c r="F140" s="81"/>
      <c r="G140" s="81"/>
      <c r="H140" s="81"/>
    </row>
    <row r="141" spans="3:8" s="83" customFormat="1" x14ac:dyDescent="0.2">
      <c r="C141" s="81"/>
      <c r="D141" s="81"/>
      <c r="E141" s="81"/>
      <c r="F141" s="81"/>
      <c r="G141" s="81"/>
      <c r="H141" s="81"/>
    </row>
    <row r="142" spans="3:8" s="83" customFormat="1" x14ac:dyDescent="0.2">
      <c r="C142" s="81"/>
      <c r="D142" s="81"/>
      <c r="E142" s="81"/>
      <c r="F142" s="81"/>
      <c r="G142" s="81"/>
      <c r="H142" s="81"/>
    </row>
    <row r="143" spans="3:8" s="83" customFormat="1" x14ac:dyDescent="0.2">
      <c r="C143" s="81"/>
      <c r="D143" s="81"/>
      <c r="E143" s="81"/>
      <c r="F143" s="81"/>
      <c r="G143" s="81"/>
      <c r="H143" s="81"/>
    </row>
    <row r="144" spans="3:8" s="83" customFormat="1" x14ac:dyDescent="0.2">
      <c r="C144" s="81"/>
      <c r="D144" s="81"/>
      <c r="E144" s="81"/>
      <c r="F144" s="81"/>
      <c r="G144" s="81"/>
      <c r="H144" s="81"/>
    </row>
    <row r="145" spans="3:8" s="83" customFormat="1" x14ac:dyDescent="0.2">
      <c r="C145" s="81"/>
      <c r="D145" s="81"/>
      <c r="E145" s="81"/>
      <c r="F145" s="81"/>
      <c r="G145" s="81"/>
      <c r="H145" s="81"/>
    </row>
    <row r="146" spans="3:8" s="83" customFormat="1" x14ac:dyDescent="0.2">
      <c r="C146" s="81"/>
      <c r="D146" s="81"/>
      <c r="E146" s="81"/>
      <c r="F146" s="81"/>
      <c r="G146" s="81"/>
      <c r="H146" s="81"/>
    </row>
    <row r="147" spans="3:8" s="83" customFormat="1" x14ac:dyDescent="0.2">
      <c r="C147" s="81"/>
      <c r="D147" s="81"/>
      <c r="E147" s="81"/>
      <c r="F147" s="81"/>
      <c r="G147" s="81"/>
      <c r="H147" s="81"/>
    </row>
    <row r="148" spans="3:8" s="83" customFormat="1" x14ac:dyDescent="0.2">
      <c r="C148" s="81"/>
      <c r="D148" s="81"/>
      <c r="E148" s="81"/>
      <c r="F148" s="81"/>
      <c r="G148" s="81"/>
      <c r="H148" s="81"/>
    </row>
    <row r="149" spans="3:8" s="83" customFormat="1" x14ac:dyDescent="0.2">
      <c r="C149" s="81"/>
      <c r="D149" s="81"/>
      <c r="E149" s="81"/>
      <c r="F149" s="81"/>
      <c r="G149" s="81"/>
      <c r="H149" s="81"/>
    </row>
    <row r="150" spans="3:8" s="83" customFormat="1" x14ac:dyDescent="0.2">
      <c r="C150" s="81"/>
      <c r="D150" s="81"/>
      <c r="E150" s="81"/>
      <c r="F150" s="81"/>
      <c r="G150" s="81"/>
      <c r="H150" s="81"/>
    </row>
    <row r="151" spans="3:8" s="83" customFormat="1" x14ac:dyDescent="0.2">
      <c r="C151" s="81"/>
      <c r="D151" s="81"/>
      <c r="E151" s="81"/>
      <c r="F151" s="81"/>
      <c r="G151" s="81"/>
      <c r="H151" s="81"/>
    </row>
    <row r="152" spans="3:8" s="83" customFormat="1" x14ac:dyDescent="0.2">
      <c r="C152" s="81"/>
      <c r="D152" s="81"/>
      <c r="E152" s="81"/>
      <c r="F152" s="81"/>
      <c r="G152" s="81"/>
      <c r="H152" s="81"/>
    </row>
    <row r="153" spans="3:8" s="83" customFormat="1" x14ac:dyDescent="0.2">
      <c r="C153" s="81"/>
      <c r="D153" s="81"/>
      <c r="E153" s="81"/>
      <c r="F153" s="81"/>
      <c r="G153" s="81"/>
      <c r="H153" s="81"/>
    </row>
    <row r="154" spans="3:8" s="83" customFormat="1" x14ac:dyDescent="0.2">
      <c r="C154" s="81"/>
      <c r="D154" s="81"/>
      <c r="E154" s="81"/>
      <c r="F154" s="81"/>
      <c r="G154" s="81"/>
      <c r="H154" s="81"/>
    </row>
    <row r="155" spans="3:8" s="83" customFormat="1" x14ac:dyDescent="0.2">
      <c r="C155" s="81"/>
      <c r="D155" s="81"/>
      <c r="E155" s="81"/>
      <c r="F155" s="81"/>
      <c r="G155" s="81"/>
      <c r="H155" s="81"/>
    </row>
    <row r="156" spans="3:8" s="83" customFormat="1" x14ac:dyDescent="0.2">
      <c r="C156" s="81"/>
      <c r="D156" s="81"/>
      <c r="E156" s="81"/>
      <c r="F156" s="81"/>
      <c r="G156" s="81"/>
      <c r="H156" s="81"/>
    </row>
    <row r="157" spans="3:8" s="83" customFormat="1" x14ac:dyDescent="0.2">
      <c r="C157" s="81"/>
      <c r="D157" s="81"/>
      <c r="E157" s="81"/>
      <c r="F157" s="81"/>
      <c r="G157" s="81"/>
      <c r="H157" s="81"/>
    </row>
    <row r="158" spans="3:8" s="83" customFormat="1" x14ac:dyDescent="0.2">
      <c r="C158" s="81"/>
      <c r="D158" s="81"/>
      <c r="E158" s="81"/>
      <c r="F158" s="81"/>
      <c r="G158" s="81"/>
      <c r="H158" s="81"/>
    </row>
    <row r="159" spans="3:8" s="83" customFormat="1" x14ac:dyDescent="0.2">
      <c r="C159" s="81"/>
      <c r="D159" s="81"/>
      <c r="E159" s="81"/>
      <c r="F159" s="81"/>
      <c r="G159" s="81"/>
      <c r="H159" s="81"/>
    </row>
    <row r="160" spans="3:8" s="83" customFormat="1" x14ac:dyDescent="0.2">
      <c r="C160" s="81"/>
      <c r="D160" s="81"/>
      <c r="E160" s="81"/>
      <c r="F160" s="81"/>
      <c r="G160" s="81"/>
      <c r="H160" s="81"/>
    </row>
    <row r="161" spans="3:8" s="83" customFormat="1" x14ac:dyDescent="0.2">
      <c r="C161" s="81"/>
      <c r="D161" s="81"/>
      <c r="E161" s="81"/>
      <c r="F161" s="81"/>
      <c r="G161" s="81"/>
      <c r="H161" s="81"/>
    </row>
    <row r="162" spans="3:8" s="83" customFormat="1" x14ac:dyDescent="0.2">
      <c r="C162" s="81"/>
      <c r="D162" s="81"/>
      <c r="E162" s="81"/>
      <c r="F162" s="81"/>
      <c r="G162" s="81"/>
      <c r="H162" s="81"/>
    </row>
    <row r="163" spans="3:8" s="83" customFormat="1" x14ac:dyDescent="0.2">
      <c r="C163" s="81"/>
      <c r="D163" s="81"/>
      <c r="E163" s="81"/>
      <c r="F163" s="81"/>
      <c r="G163" s="81"/>
      <c r="H163" s="81"/>
    </row>
    <row r="164" spans="3:8" s="83" customFormat="1" x14ac:dyDescent="0.2">
      <c r="C164" s="81"/>
      <c r="D164" s="81"/>
      <c r="E164" s="81"/>
      <c r="F164" s="81"/>
      <c r="G164" s="81"/>
      <c r="H164" s="81"/>
    </row>
    <row r="165" spans="3:8" s="83" customFormat="1" x14ac:dyDescent="0.2">
      <c r="C165" s="81"/>
      <c r="D165" s="81"/>
      <c r="E165" s="81"/>
      <c r="F165" s="81"/>
      <c r="G165" s="81"/>
      <c r="H165" s="81"/>
    </row>
    <row r="166" spans="3:8" s="83" customFormat="1" x14ac:dyDescent="0.2">
      <c r="C166" s="81"/>
      <c r="D166" s="81"/>
      <c r="E166" s="81"/>
      <c r="F166" s="81"/>
      <c r="G166" s="81"/>
      <c r="H166" s="81"/>
    </row>
    <row r="167" spans="3:8" s="83" customFormat="1" x14ac:dyDescent="0.2">
      <c r="C167" s="81"/>
      <c r="D167" s="81"/>
      <c r="E167" s="81"/>
      <c r="F167" s="81"/>
      <c r="G167" s="81"/>
      <c r="H167" s="81"/>
    </row>
    <row r="168" spans="3:8" s="83" customFormat="1" x14ac:dyDescent="0.2">
      <c r="C168" s="81"/>
      <c r="D168" s="81"/>
      <c r="E168" s="81"/>
      <c r="F168" s="81"/>
      <c r="G168" s="81"/>
      <c r="H168" s="81"/>
    </row>
    <row r="169" spans="3:8" s="83" customFormat="1" x14ac:dyDescent="0.2">
      <c r="C169" s="81"/>
      <c r="D169" s="81"/>
      <c r="E169" s="81"/>
      <c r="F169" s="81"/>
      <c r="G169" s="81"/>
      <c r="H169" s="81"/>
    </row>
    <row r="170" spans="3:8" s="83" customFormat="1" x14ac:dyDescent="0.2">
      <c r="C170" s="81"/>
      <c r="D170" s="81"/>
      <c r="E170" s="81"/>
      <c r="F170" s="81"/>
      <c r="G170" s="81"/>
      <c r="H170" s="81"/>
    </row>
    <row r="171" spans="3:8" s="83" customFormat="1" x14ac:dyDescent="0.2">
      <c r="C171" s="81"/>
      <c r="D171" s="81"/>
      <c r="E171" s="81"/>
      <c r="F171" s="81"/>
      <c r="G171" s="81"/>
      <c r="H171" s="81"/>
    </row>
    <row r="172" spans="3:8" s="83" customFormat="1" x14ac:dyDescent="0.2">
      <c r="C172" s="81"/>
      <c r="D172" s="81"/>
      <c r="E172" s="81"/>
      <c r="F172" s="81"/>
      <c r="G172" s="81"/>
      <c r="H172" s="81"/>
    </row>
    <row r="173" spans="3:8" s="83" customFormat="1" x14ac:dyDescent="0.2">
      <c r="C173" s="81"/>
      <c r="D173" s="81"/>
      <c r="E173" s="81"/>
      <c r="F173" s="81"/>
      <c r="G173" s="81"/>
      <c r="H173" s="81"/>
    </row>
    <row r="174" spans="3:8" s="83" customFormat="1" x14ac:dyDescent="0.2">
      <c r="C174" s="81"/>
      <c r="D174" s="81"/>
      <c r="E174" s="81"/>
      <c r="F174" s="81"/>
      <c r="G174" s="81"/>
      <c r="H174" s="81"/>
    </row>
    <row r="175" spans="3:8" s="83" customFormat="1" x14ac:dyDescent="0.2">
      <c r="C175" s="81"/>
      <c r="D175" s="81"/>
      <c r="E175" s="81"/>
      <c r="F175" s="81"/>
      <c r="G175" s="81"/>
      <c r="H175" s="81"/>
    </row>
    <row r="176" spans="3:8" s="83" customFormat="1" x14ac:dyDescent="0.2">
      <c r="C176" s="81"/>
      <c r="D176" s="81"/>
      <c r="E176" s="81"/>
      <c r="F176" s="81"/>
      <c r="G176" s="81"/>
      <c r="H176" s="81"/>
    </row>
    <row r="177" spans="3:8" s="83" customFormat="1" x14ac:dyDescent="0.2">
      <c r="C177" s="81"/>
      <c r="D177" s="81"/>
      <c r="E177" s="81"/>
      <c r="F177" s="81"/>
      <c r="G177" s="81"/>
      <c r="H177" s="81"/>
    </row>
    <row r="178" spans="3:8" s="83" customFormat="1" x14ac:dyDescent="0.2">
      <c r="C178" s="81"/>
      <c r="D178" s="81"/>
      <c r="E178" s="81"/>
      <c r="F178" s="81"/>
      <c r="G178" s="81"/>
      <c r="H178" s="81"/>
    </row>
    <row r="179" spans="3:8" s="83" customFormat="1" x14ac:dyDescent="0.2">
      <c r="C179" s="81"/>
      <c r="D179" s="81"/>
      <c r="E179" s="81"/>
      <c r="F179" s="81"/>
      <c r="G179" s="81"/>
      <c r="H179" s="81"/>
    </row>
    <row r="180" spans="3:8" s="83" customFormat="1" x14ac:dyDescent="0.2">
      <c r="C180" s="81"/>
      <c r="D180" s="81"/>
      <c r="E180" s="81"/>
      <c r="F180" s="81"/>
      <c r="G180" s="81"/>
      <c r="H180" s="81"/>
    </row>
    <row r="181" spans="3:8" s="83" customFormat="1" x14ac:dyDescent="0.2">
      <c r="C181" s="81"/>
      <c r="D181" s="81"/>
      <c r="E181" s="81"/>
      <c r="F181" s="81"/>
      <c r="G181" s="81"/>
      <c r="H181" s="81"/>
    </row>
    <row r="182" spans="3:8" s="83" customFormat="1" x14ac:dyDescent="0.2">
      <c r="C182" s="81"/>
      <c r="D182" s="81"/>
      <c r="E182" s="81"/>
      <c r="F182" s="81"/>
      <c r="G182" s="81"/>
      <c r="H182" s="81"/>
    </row>
    <row r="183" spans="3:8" s="83" customFormat="1" x14ac:dyDescent="0.2">
      <c r="C183" s="81"/>
      <c r="D183" s="81"/>
      <c r="E183" s="81"/>
      <c r="F183" s="81"/>
      <c r="G183" s="81"/>
      <c r="H183" s="81"/>
    </row>
    <row r="184" spans="3:8" s="83" customFormat="1" x14ac:dyDescent="0.2">
      <c r="C184" s="81"/>
      <c r="D184" s="81"/>
      <c r="E184" s="81"/>
      <c r="F184" s="81"/>
      <c r="G184" s="81"/>
      <c r="H184" s="81"/>
    </row>
    <row r="185" spans="3:8" s="83" customFormat="1" x14ac:dyDescent="0.2">
      <c r="C185" s="81"/>
      <c r="D185" s="81"/>
      <c r="E185" s="81"/>
      <c r="F185" s="81"/>
      <c r="G185" s="81"/>
      <c r="H185" s="81"/>
    </row>
    <row r="186" spans="3:8" s="83" customFormat="1" x14ac:dyDescent="0.2">
      <c r="C186" s="81"/>
      <c r="D186" s="81"/>
      <c r="E186" s="81"/>
      <c r="F186" s="81"/>
      <c r="G186" s="81"/>
      <c r="H186" s="81"/>
    </row>
    <row r="187" spans="3:8" s="83" customFormat="1" x14ac:dyDescent="0.2">
      <c r="C187" s="81"/>
      <c r="D187" s="81"/>
      <c r="E187" s="81"/>
      <c r="F187" s="81"/>
      <c r="G187" s="81"/>
      <c r="H187" s="81"/>
    </row>
    <row r="188" spans="3:8" s="83" customFormat="1" x14ac:dyDescent="0.2">
      <c r="C188" s="81"/>
      <c r="D188" s="81"/>
      <c r="E188" s="81"/>
      <c r="F188" s="81"/>
      <c r="G188" s="81"/>
      <c r="H188" s="81"/>
    </row>
    <row r="189" spans="3:8" s="83" customFormat="1" x14ac:dyDescent="0.2">
      <c r="C189" s="81"/>
      <c r="D189" s="81"/>
      <c r="E189" s="81"/>
      <c r="F189" s="81"/>
      <c r="G189" s="81"/>
      <c r="H189" s="81"/>
    </row>
    <row r="190" spans="3:8" s="83" customFormat="1" x14ac:dyDescent="0.2">
      <c r="C190" s="81"/>
      <c r="D190" s="81"/>
      <c r="E190" s="81"/>
      <c r="F190" s="81"/>
      <c r="G190" s="81"/>
      <c r="H190" s="81"/>
    </row>
    <row r="191" spans="3:8" s="83" customFormat="1" x14ac:dyDescent="0.2">
      <c r="C191" s="81"/>
      <c r="D191" s="81"/>
      <c r="E191" s="81"/>
      <c r="F191" s="81"/>
      <c r="G191" s="81"/>
      <c r="H191" s="81"/>
    </row>
    <row r="192" spans="3:8" s="83" customFormat="1" x14ac:dyDescent="0.2">
      <c r="C192" s="81"/>
      <c r="D192" s="81"/>
      <c r="E192" s="81"/>
      <c r="F192" s="81"/>
      <c r="G192" s="81"/>
      <c r="H192" s="81"/>
    </row>
    <row r="193" spans="3:8" s="83" customFormat="1" x14ac:dyDescent="0.2">
      <c r="C193" s="81"/>
      <c r="D193" s="81"/>
      <c r="E193" s="81"/>
      <c r="F193" s="81"/>
      <c r="G193" s="81"/>
      <c r="H193" s="81"/>
    </row>
    <row r="194" spans="3:8" s="83" customFormat="1" x14ac:dyDescent="0.2">
      <c r="C194" s="81"/>
      <c r="D194" s="81"/>
      <c r="E194" s="81"/>
      <c r="F194" s="81"/>
      <c r="G194" s="81"/>
      <c r="H194" s="81"/>
    </row>
    <row r="195" spans="3:8" s="83" customFormat="1" x14ac:dyDescent="0.2">
      <c r="C195" s="81"/>
      <c r="D195" s="81"/>
      <c r="E195" s="81"/>
      <c r="F195" s="81"/>
      <c r="G195" s="81"/>
      <c r="H195" s="81"/>
    </row>
    <row r="196" spans="3:8" s="83" customFormat="1" x14ac:dyDescent="0.2">
      <c r="C196" s="81"/>
      <c r="D196" s="81"/>
      <c r="E196" s="81"/>
      <c r="F196" s="81"/>
      <c r="G196" s="81"/>
      <c r="H196" s="81"/>
    </row>
    <row r="197" spans="3:8" s="83" customFormat="1" x14ac:dyDescent="0.2">
      <c r="C197" s="81"/>
      <c r="D197" s="81"/>
      <c r="E197" s="81"/>
      <c r="F197" s="81"/>
      <c r="G197" s="81"/>
      <c r="H197" s="81"/>
    </row>
    <row r="198" spans="3:8" s="83" customFormat="1" x14ac:dyDescent="0.2">
      <c r="C198" s="81"/>
      <c r="D198" s="81"/>
      <c r="E198" s="81"/>
      <c r="F198" s="81"/>
      <c r="G198" s="81"/>
      <c r="H198" s="81"/>
    </row>
    <row r="199" spans="3:8" s="83" customFormat="1" x14ac:dyDescent="0.2">
      <c r="C199" s="81"/>
      <c r="D199" s="81"/>
      <c r="E199" s="81"/>
      <c r="F199" s="81"/>
      <c r="G199" s="81"/>
      <c r="H199" s="81"/>
    </row>
    <row r="200" spans="3:8" s="83" customFormat="1" x14ac:dyDescent="0.2">
      <c r="C200" s="81"/>
      <c r="D200" s="81"/>
      <c r="E200" s="81"/>
      <c r="F200" s="81"/>
      <c r="G200" s="81"/>
      <c r="H200" s="81"/>
    </row>
    <row r="201" spans="3:8" s="83" customFormat="1" x14ac:dyDescent="0.2">
      <c r="C201" s="81"/>
      <c r="D201" s="81"/>
      <c r="E201" s="81"/>
      <c r="F201" s="81"/>
      <c r="G201" s="81"/>
      <c r="H201" s="81"/>
    </row>
    <row r="202" spans="3:8" s="83" customFormat="1" x14ac:dyDescent="0.2">
      <c r="C202" s="81"/>
      <c r="D202" s="81"/>
      <c r="E202" s="81"/>
      <c r="F202" s="81"/>
      <c r="G202" s="81"/>
      <c r="H202" s="81"/>
    </row>
    <row r="203" spans="3:8" s="83" customFormat="1" x14ac:dyDescent="0.2">
      <c r="C203" s="81"/>
      <c r="D203" s="81"/>
      <c r="E203" s="81"/>
      <c r="F203" s="81"/>
      <c r="G203" s="81"/>
      <c r="H203" s="81"/>
    </row>
    <row r="204" spans="3:8" s="83" customFormat="1" x14ac:dyDescent="0.2">
      <c r="C204" s="81"/>
      <c r="D204" s="81"/>
      <c r="E204" s="81"/>
      <c r="F204" s="81"/>
      <c r="G204" s="81"/>
      <c r="H204" s="81"/>
    </row>
    <row r="205" spans="3:8" s="83" customFormat="1" x14ac:dyDescent="0.2">
      <c r="C205" s="81"/>
      <c r="D205" s="81"/>
      <c r="E205" s="81"/>
      <c r="F205" s="81"/>
      <c r="G205" s="81"/>
      <c r="H205" s="81"/>
    </row>
    <row r="206" spans="3:8" s="83" customFormat="1" x14ac:dyDescent="0.2">
      <c r="C206" s="81"/>
      <c r="D206" s="81"/>
      <c r="E206" s="81"/>
      <c r="F206" s="81"/>
      <c r="G206" s="81"/>
      <c r="H206" s="81"/>
    </row>
    <row r="207" spans="3:8" s="83" customFormat="1" x14ac:dyDescent="0.2">
      <c r="C207" s="81"/>
      <c r="D207" s="81"/>
      <c r="E207" s="81"/>
      <c r="F207" s="81"/>
      <c r="G207" s="81"/>
      <c r="H207" s="81"/>
    </row>
    <row r="208" spans="3:8" s="83" customFormat="1" x14ac:dyDescent="0.2">
      <c r="C208" s="81"/>
      <c r="D208" s="81"/>
      <c r="E208" s="81"/>
      <c r="F208" s="81"/>
      <c r="G208" s="81"/>
      <c r="H208" s="81"/>
    </row>
    <row r="209" spans="3:8" s="83" customFormat="1" x14ac:dyDescent="0.2">
      <c r="C209" s="81"/>
      <c r="D209" s="81"/>
      <c r="E209" s="81"/>
      <c r="F209" s="81"/>
      <c r="G209" s="81"/>
      <c r="H209" s="81"/>
    </row>
    <row r="210" spans="3:8" s="83" customFormat="1" x14ac:dyDescent="0.2">
      <c r="C210" s="81"/>
      <c r="D210" s="81"/>
      <c r="E210" s="81"/>
      <c r="F210" s="81"/>
      <c r="G210" s="81"/>
      <c r="H210" s="81"/>
    </row>
    <row r="211" spans="3:8" s="83" customFormat="1" x14ac:dyDescent="0.2">
      <c r="C211" s="81"/>
      <c r="D211" s="81"/>
      <c r="E211" s="81"/>
      <c r="F211" s="81"/>
      <c r="G211" s="81"/>
      <c r="H211" s="81"/>
    </row>
    <row r="212" spans="3:8" s="83" customFormat="1" x14ac:dyDescent="0.2">
      <c r="C212" s="81"/>
      <c r="D212" s="81"/>
      <c r="E212" s="81"/>
      <c r="F212" s="81"/>
      <c r="G212" s="81"/>
      <c r="H212" s="81"/>
    </row>
    <row r="213" spans="3:8" s="83" customFormat="1" x14ac:dyDescent="0.2">
      <c r="C213" s="81"/>
      <c r="D213" s="81"/>
      <c r="E213" s="81"/>
      <c r="F213" s="81"/>
      <c r="G213" s="81"/>
      <c r="H213" s="81"/>
    </row>
    <row r="214" spans="3:8" s="83" customFormat="1" x14ac:dyDescent="0.2">
      <c r="C214" s="81"/>
      <c r="D214" s="81"/>
      <c r="E214" s="81"/>
      <c r="F214" s="81"/>
      <c r="G214" s="81"/>
      <c r="H214" s="81"/>
    </row>
    <row r="215" spans="3:8" s="83" customFormat="1" x14ac:dyDescent="0.2">
      <c r="C215" s="81"/>
      <c r="D215" s="81"/>
      <c r="E215" s="81"/>
      <c r="F215" s="81"/>
      <c r="G215" s="81"/>
      <c r="H215" s="81"/>
    </row>
    <row r="216" spans="3:8" s="83" customFormat="1" x14ac:dyDescent="0.2">
      <c r="C216" s="81"/>
      <c r="D216" s="81"/>
      <c r="E216" s="81"/>
      <c r="F216" s="81"/>
      <c r="G216" s="81"/>
      <c r="H216" s="81"/>
    </row>
    <row r="217" spans="3:8" s="83" customFormat="1" x14ac:dyDescent="0.2">
      <c r="C217" s="81"/>
      <c r="D217" s="81"/>
      <c r="E217" s="81"/>
      <c r="F217" s="81"/>
      <c r="G217" s="81"/>
      <c r="H217" s="81"/>
    </row>
    <row r="218" spans="3:8" s="83" customFormat="1" x14ac:dyDescent="0.2">
      <c r="C218" s="81"/>
      <c r="D218" s="81"/>
      <c r="E218" s="81"/>
      <c r="F218" s="81"/>
      <c r="G218" s="81"/>
      <c r="H218" s="81"/>
    </row>
    <row r="219" spans="3:8" s="83" customFormat="1" x14ac:dyDescent="0.2">
      <c r="C219" s="81"/>
      <c r="D219" s="81"/>
      <c r="E219" s="81"/>
      <c r="F219" s="81"/>
      <c r="G219" s="81"/>
      <c r="H219" s="81"/>
    </row>
    <row r="220" spans="3:8" s="83" customFormat="1" x14ac:dyDescent="0.2">
      <c r="C220" s="81"/>
      <c r="D220" s="81"/>
      <c r="E220" s="81"/>
      <c r="F220" s="81"/>
      <c r="G220" s="81"/>
      <c r="H220" s="81"/>
    </row>
    <row r="221" spans="3:8" s="83" customFormat="1" x14ac:dyDescent="0.2">
      <c r="C221" s="81"/>
      <c r="D221" s="81"/>
      <c r="E221" s="81"/>
      <c r="F221" s="81"/>
      <c r="G221" s="81"/>
      <c r="H221" s="81"/>
    </row>
    <row r="222" spans="3:8" s="83" customFormat="1" x14ac:dyDescent="0.2">
      <c r="C222" s="81"/>
      <c r="D222" s="81"/>
      <c r="E222" s="81"/>
      <c r="F222" s="81"/>
      <c r="G222" s="81"/>
      <c r="H222" s="81"/>
    </row>
    <row r="223" spans="3:8" s="83" customFormat="1" x14ac:dyDescent="0.2">
      <c r="C223" s="81"/>
      <c r="D223" s="81"/>
      <c r="E223" s="81"/>
      <c r="F223" s="81"/>
      <c r="G223" s="81"/>
      <c r="H223" s="81"/>
    </row>
    <row r="224" spans="3:8" s="83" customFormat="1" x14ac:dyDescent="0.2">
      <c r="C224" s="81"/>
      <c r="D224" s="81"/>
      <c r="E224" s="81"/>
      <c r="F224" s="81"/>
      <c r="G224" s="81"/>
      <c r="H224" s="81"/>
    </row>
    <row r="225" spans="3:8" s="83" customFormat="1" x14ac:dyDescent="0.2">
      <c r="C225" s="81"/>
      <c r="D225" s="81"/>
      <c r="E225" s="81"/>
      <c r="F225" s="81"/>
      <c r="G225" s="81"/>
      <c r="H225" s="81"/>
    </row>
    <row r="226" spans="3:8" s="83" customFormat="1" x14ac:dyDescent="0.2">
      <c r="C226" s="81"/>
      <c r="D226" s="81"/>
      <c r="E226" s="81"/>
      <c r="F226" s="81"/>
      <c r="G226" s="81"/>
      <c r="H226" s="81"/>
    </row>
    <row r="227" spans="3:8" s="83" customFormat="1" x14ac:dyDescent="0.2">
      <c r="C227" s="81"/>
      <c r="D227" s="81"/>
      <c r="E227" s="81"/>
      <c r="F227" s="81"/>
      <c r="G227" s="81"/>
      <c r="H227" s="81"/>
    </row>
    <row r="228" spans="3:8" s="83" customFormat="1" x14ac:dyDescent="0.2">
      <c r="C228" s="81"/>
      <c r="D228" s="81"/>
      <c r="E228" s="81"/>
      <c r="F228" s="81"/>
      <c r="G228" s="81"/>
      <c r="H228" s="81"/>
    </row>
    <row r="229" spans="3:8" s="83" customFormat="1" x14ac:dyDescent="0.2">
      <c r="C229" s="81"/>
      <c r="D229" s="81"/>
      <c r="E229" s="81"/>
      <c r="F229" s="81"/>
      <c r="G229" s="81"/>
      <c r="H229" s="81"/>
    </row>
    <row r="230" spans="3:8" s="83" customFormat="1" x14ac:dyDescent="0.2">
      <c r="C230" s="81"/>
      <c r="D230" s="81"/>
      <c r="E230" s="81"/>
      <c r="F230" s="81"/>
      <c r="G230" s="81"/>
      <c r="H230" s="81"/>
    </row>
    <row r="231" spans="3:8" s="83" customFormat="1" x14ac:dyDescent="0.2">
      <c r="C231" s="81"/>
      <c r="D231" s="81"/>
      <c r="E231" s="81"/>
      <c r="F231" s="81"/>
      <c r="G231" s="81"/>
      <c r="H231" s="81"/>
    </row>
    <row r="232" spans="3:8" s="83" customFormat="1" x14ac:dyDescent="0.2">
      <c r="C232" s="81"/>
      <c r="D232" s="81"/>
      <c r="E232" s="81"/>
      <c r="F232" s="81"/>
      <c r="G232" s="81"/>
      <c r="H232" s="81"/>
    </row>
    <row r="233" spans="3:8" s="83" customFormat="1" x14ac:dyDescent="0.2">
      <c r="C233" s="81"/>
      <c r="D233" s="81"/>
      <c r="E233" s="81"/>
      <c r="F233" s="81"/>
      <c r="G233" s="81"/>
      <c r="H233" s="81"/>
    </row>
    <row r="234" spans="3:8" s="83" customFormat="1" x14ac:dyDescent="0.2">
      <c r="C234" s="81"/>
      <c r="D234" s="81"/>
      <c r="E234" s="81"/>
      <c r="F234" s="81"/>
      <c r="G234" s="81"/>
      <c r="H234" s="81"/>
    </row>
    <row r="235" spans="3:8" s="83" customFormat="1" x14ac:dyDescent="0.2">
      <c r="C235" s="81"/>
      <c r="D235" s="81"/>
      <c r="E235" s="81"/>
      <c r="F235" s="81"/>
      <c r="G235" s="81"/>
      <c r="H235" s="81"/>
    </row>
    <row r="236" spans="3:8" s="83" customFormat="1" x14ac:dyDescent="0.2">
      <c r="C236" s="81"/>
      <c r="D236" s="81"/>
      <c r="E236" s="81"/>
      <c r="F236" s="81"/>
      <c r="G236" s="81"/>
      <c r="H236" s="81"/>
    </row>
    <row r="237" spans="3:8" s="83" customFormat="1" x14ac:dyDescent="0.2">
      <c r="C237" s="81"/>
      <c r="D237" s="81"/>
      <c r="E237" s="81"/>
      <c r="F237" s="81"/>
      <c r="G237" s="81"/>
      <c r="H237" s="81"/>
    </row>
    <row r="238" spans="3:8" s="83" customFormat="1" x14ac:dyDescent="0.2">
      <c r="C238" s="81"/>
      <c r="D238" s="81"/>
      <c r="E238" s="81"/>
      <c r="F238" s="81"/>
      <c r="G238" s="81"/>
      <c r="H238" s="81"/>
    </row>
    <row r="239" spans="3:8" s="83" customFormat="1" x14ac:dyDescent="0.2">
      <c r="C239" s="81"/>
      <c r="D239" s="81"/>
      <c r="E239" s="81"/>
      <c r="F239" s="81"/>
      <c r="G239" s="81"/>
      <c r="H239" s="81"/>
    </row>
    <row r="240" spans="3:8" s="83" customFormat="1" x14ac:dyDescent="0.2">
      <c r="C240" s="81"/>
      <c r="D240" s="81"/>
      <c r="E240" s="81"/>
      <c r="F240" s="81"/>
      <c r="G240" s="81"/>
      <c r="H240" s="81"/>
    </row>
    <row r="241" spans="3:8" s="83" customFormat="1" x14ac:dyDescent="0.2">
      <c r="C241" s="81"/>
      <c r="D241" s="81"/>
      <c r="E241" s="81"/>
      <c r="F241" s="81"/>
      <c r="G241" s="81"/>
      <c r="H241" s="81"/>
    </row>
    <row r="242" spans="3:8" s="83" customFormat="1" x14ac:dyDescent="0.2">
      <c r="C242" s="81"/>
      <c r="D242" s="81"/>
      <c r="E242" s="81"/>
      <c r="F242" s="81"/>
      <c r="G242" s="81"/>
      <c r="H242" s="81"/>
    </row>
    <row r="243" spans="3:8" s="83" customFormat="1" x14ac:dyDescent="0.2">
      <c r="C243" s="81"/>
      <c r="D243" s="81"/>
      <c r="E243" s="81"/>
      <c r="F243" s="81"/>
      <c r="G243" s="81"/>
      <c r="H243" s="81"/>
    </row>
    <row r="244" spans="3:8" s="83" customFormat="1" x14ac:dyDescent="0.2">
      <c r="C244" s="81"/>
      <c r="D244" s="81"/>
      <c r="E244" s="81"/>
      <c r="F244" s="81"/>
      <c r="G244" s="81"/>
      <c r="H244" s="81"/>
    </row>
    <row r="245" spans="3:8" s="83" customFormat="1" x14ac:dyDescent="0.2">
      <c r="C245" s="81"/>
      <c r="D245" s="81"/>
      <c r="E245" s="81"/>
      <c r="F245" s="81"/>
      <c r="G245" s="81"/>
      <c r="H245" s="81"/>
    </row>
    <row r="246" spans="3:8" s="83" customFormat="1" x14ac:dyDescent="0.2">
      <c r="C246" s="81"/>
      <c r="D246" s="81"/>
      <c r="E246" s="81"/>
      <c r="F246" s="81"/>
      <c r="G246" s="81"/>
      <c r="H246" s="81"/>
    </row>
    <row r="247" spans="3:8" s="83" customFormat="1" x14ac:dyDescent="0.2">
      <c r="C247" s="81"/>
      <c r="D247" s="81"/>
      <c r="E247" s="81"/>
      <c r="F247" s="81"/>
      <c r="G247" s="81"/>
      <c r="H247" s="81"/>
    </row>
    <row r="248" spans="3:8" s="83" customFormat="1" x14ac:dyDescent="0.2">
      <c r="C248" s="81"/>
      <c r="D248" s="81"/>
      <c r="E248" s="81"/>
      <c r="F248" s="81"/>
      <c r="G248" s="81"/>
      <c r="H248" s="81"/>
    </row>
    <row r="249" spans="3:8" s="83" customFormat="1" x14ac:dyDescent="0.2">
      <c r="C249" s="81"/>
      <c r="D249" s="81"/>
      <c r="E249" s="81"/>
      <c r="F249" s="81"/>
      <c r="G249" s="81"/>
      <c r="H249" s="81"/>
    </row>
    <row r="250" spans="3:8" s="83" customFormat="1" x14ac:dyDescent="0.2">
      <c r="C250" s="81"/>
      <c r="D250" s="81"/>
      <c r="E250" s="81"/>
      <c r="F250" s="81"/>
      <c r="G250" s="81"/>
      <c r="H250" s="81"/>
    </row>
    <row r="251" spans="3:8" s="83" customFormat="1" x14ac:dyDescent="0.2">
      <c r="C251" s="81"/>
      <c r="D251" s="81"/>
      <c r="E251" s="81"/>
      <c r="F251" s="81"/>
      <c r="G251" s="81"/>
      <c r="H251" s="81"/>
    </row>
    <row r="252" spans="3:8" s="83" customFormat="1" x14ac:dyDescent="0.2">
      <c r="C252" s="81"/>
      <c r="D252" s="81"/>
      <c r="E252" s="81"/>
      <c r="F252" s="81"/>
      <c r="G252" s="81"/>
      <c r="H252" s="81"/>
    </row>
    <row r="253" spans="3:8" s="83" customFormat="1" x14ac:dyDescent="0.2">
      <c r="C253" s="81"/>
      <c r="D253" s="81"/>
      <c r="E253" s="81"/>
      <c r="F253" s="81"/>
      <c r="G253" s="81"/>
      <c r="H253" s="81"/>
    </row>
    <row r="254" spans="3:8" s="83" customFormat="1" x14ac:dyDescent="0.2">
      <c r="C254" s="81"/>
      <c r="D254" s="81"/>
      <c r="E254" s="81"/>
      <c r="F254" s="81"/>
      <c r="G254" s="81"/>
      <c r="H254" s="81"/>
    </row>
    <row r="255" spans="3:8" s="83" customFormat="1" x14ac:dyDescent="0.2">
      <c r="C255" s="81"/>
      <c r="D255" s="81"/>
      <c r="E255" s="81"/>
      <c r="F255" s="81"/>
      <c r="G255" s="81"/>
      <c r="H255" s="81"/>
    </row>
    <row r="256" spans="3:8" s="83" customFormat="1" x14ac:dyDescent="0.2">
      <c r="C256" s="81"/>
      <c r="D256" s="81"/>
      <c r="E256" s="81"/>
      <c r="F256" s="81"/>
      <c r="G256" s="81"/>
      <c r="H256" s="81"/>
    </row>
    <row r="257" spans="3:8" s="83" customFormat="1" x14ac:dyDescent="0.2">
      <c r="C257" s="81"/>
      <c r="D257" s="81"/>
      <c r="E257" s="81"/>
      <c r="F257" s="81"/>
      <c r="G257" s="81"/>
      <c r="H257" s="81"/>
    </row>
    <row r="258" spans="3:8" s="83" customFormat="1" x14ac:dyDescent="0.2">
      <c r="C258" s="81"/>
      <c r="D258" s="81"/>
      <c r="E258" s="81"/>
      <c r="F258" s="81"/>
      <c r="G258" s="81"/>
      <c r="H258" s="81"/>
    </row>
    <row r="259" spans="3:8" s="83" customFormat="1" x14ac:dyDescent="0.2">
      <c r="C259" s="81"/>
      <c r="D259" s="81"/>
      <c r="E259" s="81"/>
      <c r="F259" s="81"/>
      <c r="G259" s="81"/>
      <c r="H259" s="81"/>
    </row>
    <row r="260" spans="3:8" s="83" customFormat="1" x14ac:dyDescent="0.2">
      <c r="C260" s="81"/>
      <c r="D260" s="81"/>
      <c r="E260" s="81"/>
      <c r="F260" s="81"/>
      <c r="G260" s="81"/>
      <c r="H260" s="81"/>
    </row>
    <row r="261" spans="3:8" s="83" customFormat="1" x14ac:dyDescent="0.2">
      <c r="C261" s="81"/>
      <c r="D261" s="81"/>
      <c r="E261" s="81"/>
      <c r="F261" s="81"/>
      <c r="G261" s="81"/>
      <c r="H261" s="81"/>
    </row>
    <row r="262" spans="3:8" s="83" customFormat="1" x14ac:dyDescent="0.2">
      <c r="C262" s="81"/>
      <c r="D262" s="81"/>
      <c r="E262" s="81"/>
      <c r="F262" s="81"/>
      <c r="G262" s="81"/>
      <c r="H262" s="81"/>
    </row>
    <row r="263" spans="3:8" s="83" customFormat="1" x14ac:dyDescent="0.2">
      <c r="C263" s="81"/>
      <c r="D263" s="81"/>
      <c r="E263" s="81"/>
      <c r="F263" s="81"/>
      <c r="G263" s="81"/>
      <c r="H263" s="81"/>
    </row>
    <row r="264" spans="3:8" s="83" customFormat="1" x14ac:dyDescent="0.2">
      <c r="C264" s="81"/>
      <c r="D264" s="81"/>
      <c r="E264" s="81"/>
      <c r="F264" s="81"/>
      <c r="G264" s="81"/>
      <c r="H264" s="81"/>
    </row>
    <row r="265" spans="3:8" s="83" customFormat="1" x14ac:dyDescent="0.2">
      <c r="C265" s="81"/>
      <c r="D265" s="81"/>
      <c r="E265" s="81"/>
      <c r="F265" s="81"/>
      <c r="G265" s="81"/>
      <c r="H265" s="81"/>
    </row>
    <row r="266" spans="3:8" s="83" customFormat="1" x14ac:dyDescent="0.2">
      <c r="C266" s="81"/>
      <c r="D266" s="81"/>
      <c r="E266" s="81"/>
      <c r="F266" s="81"/>
      <c r="G266" s="81"/>
      <c r="H266" s="81"/>
    </row>
    <row r="267" spans="3:8" s="83" customFormat="1" x14ac:dyDescent="0.2">
      <c r="C267" s="81"/>
      <c r="D267" s="81"/>
      <c r="E267" s="81"/>
      <c r="F267" s="81"/>
      <c r="G267" s="81"/>
      <c r="H267" s="81"/>
    </row>
    <row r="268" spans="3:8" s="83" customFormat="1" x14ac:dyDescent="0.2">
      <c r="C268" s="81"/>
      <c r="D268" s="81"/>
      <c r="E268" s="81"/>
      <c r="F268" s="81"/>
      <c r="G268" s="81"/>
      <c r="H268" s="81"/>
    </row>
    <row r="269" spans="3:8" s="83" customFormat="1" x14ac:dyDescent="0.2">
      <c r="C269" s="81"/>
      <c r="D269" s="81"/>
      <c r="E269" s="81"/>
      <c r="F269" s="81"/>
      <c r="G269" s="81"/>
      <c r="H269" s="81"/>
    </row>
    <row r="270" spans="3:8" s="83" customFormat="1" x14ac:dyDescent="0.2">
      <c r="C270" s="81"/>
      <c r="D270" s="81"/>
      <c r="E270" s="81"/>
      <c r="F270" s="81"/>
      <c r="G270" s="81"/>
      <c r="H270" s="81"/>
    </row>
    <row r="271" spans="3:8" s="83" customFormat="1" x14ac:dyDescent="0.2">
      <c r="C271" s="81"/>
      <c r="D271" s="81"/>
      <c r="E271" s="81"/>
      <c r="F271" s="81"/>
      <c r="G271" s="81"/>
      <c r="H271" s="81"/>
    </row>
    <row r="272" spans="3:8" s="83" customFormat="1" x14ac:dyDescent="0.2">
      <c r="C272" s="81"/>
      <c r="D272" s="81"/>
      <c r="E272" s="81"/>
      <c r="F272" s="81"/>
      <c r="G272" s="81"/>
      <c r="H272" s="81"/>
    </row>
    <row r="273" spans="3:8" s="83" customFormat="1" x14ac:dyDescent="0.2">
      <c r="C273" s="81"/>
      <c r="D273" s="81"/>
      <c r="E273" s="81"/>
      <c r="F273" s="81"/>
      <c r="G273" s="81"/>
      <c r="H273" s="81"/>
    </row>
    <row r="274" spans="3:8" s="83" customFormat="1" x14ac:dyDescent="0.2">
      <c r="C274" s="81"/>
      <c r="D274" s="81"/>
      <c r="E274" s="81"/>
      <c r="F274" s="81"/>
      <c r="G274" s="81"/>
      <c r="H274" s="81"/>
    </row>
    <row r="275" spans="3:8" s="83" customFormat="1" x14ac:dyDescent="0.2">
      <c r="C275" s="81"/>
      <c r="D275" s="81"/>
      <c r="E275" s="81"/>
      <c r="F275" s="81"/>
      <c r="G275" s="81"/>
      <c r="H275" s="81"/>
    </row>
    <row r="276" spans="3:8" s="83" customFormat="1" x14ac:dyDescent="0.2">
      <c r="C276" s="81"/>
      <c r="D276" s="81"/>
      <c r="E276" s="81"/>
      <c r="F276" s="81"/>
      <c r="G276" s="81"/>
      <c r="H276" s="81"/>
    </row>
    <row r="277" spans="3:8" s="83" customFormat="1" x14ac:dyDescent="0.2">
      <c r="C277" s="81"/>
      <c r="D277" s="81"/>
      <c r="E277" s="81"/>
      <c r="F277" s="81"/>
      <c r="G277" s="81"/>
      <c r="H277" s="81"/>
    </row>
    <row r="278" spans="3:8" s="83" customFormat="1" x14ac:dyDescent="0.2">
      <c r="C278" s="81"/>
      <c r="D278" s="81"/>
      <c r="E278" s="81"/>
      <c r="F278" s="81"/>
      <c r="G278" s="81"/>
      <c r="H278" s="81"/>
    </row>
    <row r="279" spans="3:8" s="83" customFormat="1" x14ac:dyDescent="0.2">
      <c r="C279" s="81"/>
      <c r="D279" s="81"/>
      <c r="E279" s="81"/>
      <c r="F279" s="81"/>
      <c r="G279" s="81"/>
      <c r="H279" s="81"/>
    </row>
    <row r="280" spans="3:8" s="83" customFormat="1" x14ac:dyDescent="0.2">
      <c r="C280" s="81"/>
      <c r="D280" s="81"/>
      <c r="E280" s="81"/>
      <c r="F280" s="81"/>
      <c r="G280" s="81"/>
      <c r="H280" s="81"/>
    </row>
    <row r="281" spans="3:8" s="83" customFormat="1" x14ac:dyDescent="0.2">
      <c r="C281" s="81"/>
      <c r="D281" s="81"/>
      <c r="E281" s="81"/>
      <c r="F281" s="81"/>
      <c r="G281" s="81"/>
      <c r="H281" s="81"/>
    </row>
    <row r="282" spans="3:8" s="83" customFormat="1" x14ac:dyDescent="0.2">
      <c r="C282" s="81"/>
      <c r="D282" s="81"/>
      <c r="E282" s="81"/>
      <c r="F282" s="81"/>
      <c r="G282" s="81"/>
      <c r="H282" s="81"/>
    </row>
    <row r="283" spans="3:8" s="83" customFormat="1" x14ac:dyDescent="0.2">
      <c r="C283" s="81"/>
      <c r="D283" s="81"/>
      <c r="E283" s="81"/>
      <c r="F283" s="81"/>
      <c r="G283" s="81"/>
      <c r="H283" s="81"/>
    </row>
    <row r="284" spans="3:8" s="83" customFormat="1" x14ac:dyDescent="0.2">
      <c r="C284" s="81"/>
      <c r="D284" s="81"/>
      <c r="E284" s="81"/>
      <c r="F284" s="81"/>
      <c r="G284" s="81"/>
      <c r="H284" s="81"/>
    </row>
    <row r="285" spans="3:8" s="83" customFormat="1" x14ac:dyDescent="0.2">
      <c r="C285" s="81"/>
      <c r="D285" s="81"/>
      <c r="E285" s="81"/>
      <c r="F285" s="81"/>
      <c r="G285" s="81"/>
      <c r="H285" s="81"/>
    </row>
    <row r="286" spans="3:8" s="83" customFormat="1" x14ac:dyDescent="0.2">
      <c r="C286" s="81"/>
      <c r="D286" s="81"/>
      <c r="E286" s="81"/>
      <c r="F286" s="81"/>
      <c r="G286" s="81"/>
      <c r="H286" s="81"/>
    </row>
    <row r="287" spans="3:8" s="83" customFormat="1" x14ac:dyDescent="0.2">
      <c r="C287" s="81"/>
      <c r="D287" s="81"/>
      <c r="E287" s="81"/>
      <c r="F287" s="81"/>
      <c r="G287" s="81"/>
      <c r="H287" s="81"/>
    </row>
    <row r="288" spans="3:8" s="83" customFormat="1" x14ac:dyDescent="0.2">
      <c r="C288" s="81"/>
      <c r="D288" s="81"/>
      <c r="E288" s="81"/>
      <c r="F288" s="81"/>
      <c r="G288" s="81"/>
      <c r="H288" s="81"/>
    </row>
    <row r="289" spans="3:8" s="83" customFormat="1" x14ac:dyDescent="0.2">
      <c r="C289" s="81"/>
      <c r="D289" s="81"/>
      <c r="E289" s="81"/>
      <c r="F289" s="81"/>
      <c r="G289" s="81"/>
      <c r="H289" s="81"/>
    </row>
    <row r="290" spans="3:8" s="83" customFormat="1" x14ac:dyDescent="0.2">
      <c r="C290" s="81"/>
      <c r="D290" s="81"/>
      <c r="E290" s="81"/>
      <c r="F290" s="81"/>
      <c r="G290" s="81"/>
      <c r="H290" s="81"/>
    </row>
    <row r="291" spans="3:8" s="83" customFormat="1" x14ac:dyDescent="0.2">
      <c r="C291" s="81"/>
      <c r="D291" s="81"/>
      <c r="E291" s="81"/>
      <c r="F291" s="81"/>
      <c r="G291" s="81"/>
      <c r="H291" s="81"/>
    </row>
    <row r="292" spans="3:8" s="83" customFormat="1" x14ac:dyDescent="0.2">
      <c r="C292" s="81"/>
      <c r="D292" s="81"/>
      <c r="E292" s="81"/>
      <c r="F292" s="81"/>
      <c r="G292" s="81"/>
      <c r="H292" s="81"/>
    </row>
    <row r="293" spans="3:8" s="83" customFormat="1" x14ac:dyDescent="0.2">
      <c r="C293" s="81"/>
      <c r="D293" s="81"/>
      <c r="E293" s="81"/>
      <c r="F293" s="81"/>
      <c r="G293" s="81"/>
      <c r="H293" s="81"/>
    </row>
    <row r="294" spans="3:8" s="83" customFormat="1" x14ac:dyDescent="0.2">
      <c r="C294" s="81"/>
      <c r="D294" s="81"/>
      <c r="E294" s="81"/>
      <c r="F294" s="81"/>
      <c r="G294" s="81"/>
      <c r="H294" s="81"/>
    </row>
    <row r="295" spans="3:8" s="83" customFormat="1" x14ac:dyDescent="0.2">
      <c r="C295" s="81"/>
      <c r="D295" s="81"/>
      <c r="E295" s="81"/>
      <c r="F295" s="81"/>
      <c r="G295" s="81"/>
      <c r="H295" s="81"/>
    </row>
    <row r="296" spans="3:8" s="83" customFormat="1" x14ac:dyDescent="0.2">
      <c r="C296" s="81"/>
      <c r="D296" s="81"/>
      <c r="E296" s="81"/>
      <c r="F296" s="81"/>
      <c r="G296" s="81"/>
      <c r="H296" s="81"/>
    </row>
    <row r="297" spans="3:8" s="83" customFormat="1" x14ac:dyDescent="0.2">
      <c r="C297" s="81"/>
      <c r="D297" s="81"/>
      <c r="E297" s="81"/>
      <c r="F297" s="81"/>
      <c r="G297" s="81"/>
      <c r="H297" s="81"/>
    </row>
    <row r="298" spans="3:8" s="83" customFormat="1" x14ac:dyDescent="0.2">
      <c r="C298" s="81"/>
      <c r="D298" s="81"/>
      <c r="E298" s="81"/>
      <c r="F298" s="81"/>
      <c r="G298" s="81"/>
      <c r="H298" s="81"/>
    </row>
    <row r="299" spans="3:8" s="83" customFormat="1" x14ac:dyDescent="0.2">
      <c r="C299" s="81"/>
      <c r="D299" s="81"/>
      <c r="E299" s="81"/>
      <c r="F299" s="81"/>
      <c r="G299" s="81"/>
      <c r="H299" s="81"/>
    </row>
    <row r="300" spans="3:8" s="83" customFormat="1" x14ac:dyDescent="0.2">
      <c r="C300" s="81"/>
      <c r="D300" s="81"/>
      <c r="E300" s="81"/>
      <c r="F300" s="81"/>
      <c r="G300" s="81"/>
      <c r="H300" s="81"/>
    </row>
    <row r="301" spans="3:8" s="83" customFormat="1" x14ac:dyDescent="0.2">
      <c r="C301" s="81"/>
      <c r="D301" s="81"/>
      <c r="E301" s="81"/>
      <c r="F301" s="81"/>
      <c r="G301" s="81"/>
      <c r="H301" s="81"/>
    </row>
    <row r="302" spans="3:8" s="83" customFormat="1" x14ac:dyDescent="0.2">
      <c r="C302" s="81"/>
      <c r="D302" s="81"/>
      <c r="E302" s="81"/>
      <c r="F302" s="81"/>
      <c r="G302" s="81"/>
      <c r="H302" s="81"/>
    </row>
    <row r="303" spans="3:8" s="83" customFormat="1" x14ac:dyDescent="0.2">
      <c r="C303" s="81"/>
      <c r="D303" s="81"/>
      <c r="E303" s="81"/>
      <c r="F303" s="81"/>
      <c r="G303" s="81"/>
      <c r="H303" s="81"/>
    </row>
    <row r="304" spans="3:8" s="83" customFormat="1" x14ac:dyDescent="0.2">
      <c r="C304" s="81"/>
      <c r="D304" s="81"/>
      <c r="E304" s="81"/>
      <c r="F304" s="81"/>
      <c r="G304" s="81"/>
      <c r="H304" s="81"/>
    </row>
    <row r="305" spans="3:8" s="83" customFormat="1" x14ac:dyDescent="0.2">
      <c r="C305" s="81"/>
      <c r="D305" s="81"/>
      <c r="E305" s="81"/>
      <c r="F305" s="81"/>
      <c r="G305" s="81"/>
      <c r="H305" s="81"/>
    </row>
    <row r="306" spans="3:8" s="83" customFormat="1" x14ac:dyDescent="0.2">
      <c r="C306" s="81"/>
      <c r="D306" s="81"/>
      <c r="E306" s="81"/>
      <c r="F306" s="81"/>
      <c r="G306" s="81"/>
      <c r="H306" s="81"/>
    </row>
    <row r="307" spans="3:8" s="83" customFormat="1" x14ac:dyDescent="0.2">
      <c r="C307" s="81"/>
      <c r="D307" s="81"/>
      <c r="E307" s="81"/>
      <c r="F307" s="81"/>
      <c r="G307" s="81"/>
      <c r="H307" s="81"/>
    </row>
    <row r="308" spans="3:8" s="83" customFormat="1" x14ac:dyDescent="0.2">
      <c r="C308" s="81"/>
      <c r="D308" s="81"/>
      <c r="E308" s="81"/>
      <c r="F308" s="81"/>
      <c r="G308" s="81"/>
      <c r="H308" s="81"/>
    </row>
    <row r="309" spans="3:8" s="83" customFormat="1" x14ac:dyDescent="0.2">
      <c r="C309" s="81"/>
      <c r="D309" s="81"/>
      <c r="E309" s="81"/>
      <c r="F309" s="81"/>
      <c r="G309" s="81"/>
      <c r="H309" s="81"/>
    </row>
    <row r="310" spans="3:8" s="83" customFormat="1" x14ac:dyDescent="0.2">
      <c r="C310" s="81"/>
      <c r="D310" s="81"/>
      <c r="E310" s="81"/>
      <c r="F310" s="81"/>
      <c r="G310" s="81"/>
      <c r="H310" s="81"/>
    </row>
  </sheetData>
  <mergeCells count="10">
    <mergeCell ref="AG2:AX2"/>
    <mergeCell ref="AY2:BD2"/>
    <mergeCell ref="Q3:S3"/>
    <mergeCell ref="AG3:AR3"/>
    <mergeCell ref="AU3:AW3"/>
    <mergeCell ref="R21:S21"/>
    <mergeCell ref="R26:S26"/>
    <mergeCell ref="R27:S27"/>
    <mergeCell ref="R28:S28"/>
    <mergeCell ref="A2:M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4"/>
  <sheetViews>
    <sheetView topLeftCell="A28" workbookViewId="0">
      <selection activeCell="M55" sqref="M55"/>
    </sheetView>
  </sheetViews>
  <sheetFormatPr defaultRowHeight="12.75" x14ac:dyDescent="0.2"/>
  <cols>
    <col min="1" max="1" width="18" style="79" customWidth="1"/>
    <col min="2" max="2" width="11.140625" style="80" bestFit="1" customWidth="1"/>
    <col min="3" max="3" width="11.28515625" style="80" bestFit="1" customWidth="1"/>
    <col min="4" max="4" width="10.140625" style="80" customWidth="1"/>
    <col min="5" max="5" width="11.85546875" style="80" bestFit="1" customWidth="1"/>
    <col min="6" max="16384" width="9.140625" style="83"/>
  </cols>
  <sheetData>
    <row r="1" spans="1:5" ht="32.25" customHeight="1" x14ac:dyDescent="0.2">
      <c r="A1" s="457" t="s">
        <v>142</v>
      </c>
      <c r="B1" s="457"/>
      <c r="C1" s="457"/>
      <c r="D1" s="457"/>
      <c r="E1" s="457"/>
    </row>
    <row r="3" spans="1:5" ht="13.5" thickBot="1" x14ac:dyDescent="0.25"/>
    <row r="4" spans="1:5" x14ac:dyDescent="0.2">
      <c r="A4" s="443" t="s">
        <v>143</v>
      </c>
      <c r="B4" s="444"/>
      <c r="C4" s="444"/>
      <c r="D4" s="444"/>
      <c r="E4" s="444"/>
    </row>
    <row r="5" spans="1:5" x14ac:dyDescent="0.2">
      <c r="A5" s="104"/>
      <c r="B5" s="81"/>
      <c r="C5" s="81"/>
      <c r="D5" s="81"/>
      <c r="E5" s="81"/>
    </row>
    <row r="6" spans="1:5" s="80" customFormat="1" x14ac:dyDescent="0.2">
      <c r="A6" s="104"/>
      <c r="B6" s="81" t="s">
        <v>48</v>
      </c>
      <c r="C6" s="81" t="s">
        <v>51</v>
      </c>
      <c r="D6" s="81" t="s">
        <v>52</v>
      </c>
      <c r="E6" s="81" t="s">
        <v>55</v>
      </c>
    </row>
    <row r="7" spans="1:5" ht="13.5" thickBot="1" x14ac:dyDescent="0.25">
      <c r="A7" s="138"/>
      <c r="B7" s="139" t="s">
        <v>91</v>
      </c>
      <c r="C7" s="139" t="s">
        <v>91</v>
      </c>
      <c r="D7" s="139" t="s">
        <v>91</v>
      </c>
      <c r="E7" s="139" t="s">
        <v>91</v>
      </c>
    </row>
    <row r="8" spans="1:5" x14ac:dyDescent="0.2">
      <c r="A8" s="104">
        <v>41548</v>
      </c>
      <c r="B8" s="186">
        <v>12777000</v>
      </c>
      <c r="C8" s="186">
        <v>7793000</v>
      </c>
      <c r="D8" s="186">
        <v>4766000</v>
      </c>
      <c r="E8" s="304">
        <v>0</v>
      </c>
    </row>
    <row r="9" spans="1:5" x14ac:dyDescent="0.2">
      <c r="A9" s="104">
        <v>41579</v>
      </c>
      <c r="B9" s="161">
        <v>12435000</v>
      </c>
      <c r="C9" s="161">
        <v>7457000</v>
      </c>
      <c r="D9" s="161">
        <v>4123000</v>
      </c>
      <c r="E9" s="304">
        <v>0</v>
      </c>
    </row>
    <row r="10" spans="1:5" x14ac:dyDescent="0.2">
      <c r="A10" s="104">
        <v>41609</v>
      </c>
      <c r="B10" s="161">
        <v>12600000</v>
      </c>
      <c r="C10" s="161">
        <v>7656000</v>
      </c>
      <c r="D10" s="161">
        <v>4031000</v>
      </c>
      <c r="E10" s="304">
        <v>7000</v>
      </c>
    </row>
    <row r="11" spans="1:5" x14ac:dyDescent="0.2">
      <c r="A11" s="160">
        <v>41640</v>
      </c>
      <c r="B11" s="186">
        <v>12060000</v>
      </c>
      <c r="C11" s="161">
        <v>7781000</v>
      </c>
      <c r="D11" s="304">
        <v>1736000</v>
      </c>
      <c r="E11" s="304">
        <v>0</v>
      </c>
    </row>
    <row r="12" spans="1:5" x14ac:dyDescent="0.2">
      <c r="A12" s="160">
        <f t="shared" ref="A12:A19" si="0">31+A11</f>
        <v>41671</v>
      </c>
      <c r="B12" s="186">
        <v>10375000</v>
      </c>
      <c r="C12" s="161">
        <v>6754000</v>
      </c>
      <c r="D12" s="304">
        <v>0</v>
      </c>
      <c r="E12" s="304">
        <v>0</v>
      </c>
    </row>
    <row r="13" spans="1:5" x14ac:dyDescent="0.2">
      <c r="A13" s="160">
        <f t="shared" si="0"/>
        <v>41702</v>
      </c>
      <c r="B13" s="186">
        <v>11216000</v>
      </c>
      <c r="C13" s="161">
        <v>7406000</v>
      </c>
      <c r="D13" s="161">
        <v>3831000</v>
      </c>
      <c r="E13" s="304">
        <v>0</v>
      </c>
    </row>
    <row r="14" spans="1:5" x14ac:dyDescent="0.2">
      <c r="A14" s="160">
        <f t="shared" si="0"/>
        <v>41733</v>
      </c>
      <c r="B14" s="304">
        <v>2859000</v>
      </c>
      <c r="C14" s="161">
        <v>6854000</v>
      </c>
      <c r="D14" s="161">
        <v>4923000</v>
      </c>
      <c r="E14" s="304">
        <v>288288</v>
      </c>
    </row>
    <row r="15" spans="1:5" x14ac:dyDescent="0.2">
      <c r="A15" s="160">
        <f t="shared" si="0"/>
        <v>41764</v>
      </c>
      <c r="B15" s="304">
        <v>0</v>
      </c>
      <c r="C15" s="161">
        <v>6269000</v>
      </c>
      <c r="D15" s="161">
        <v>4858000</v>
      </c>
      <c r="E15" s="161">
        <v>3126240</v>
      </c>
    </row>
    <row r="16" spans="1:5" x14ac:dyDescent="0.2">
      <c r="A16" s="160">
        <f t="shared" si="0"/>
        <v>41795</v>
      </c>
      <c r="B16" s="304">
        <v>8518000</v>
      </c>
      <c r="C16" s="304">
        <v>2189000</v>
      </c>
      <c r="D16" s="161">
        <v>4918000</v>
      </c>
      <c r="E16" s="161">
        <v>4573000</v>
      </c>
    </row>
    <row r="17" spans="1:5" x14ac:dyDescent="0.2">
      <c r="A17" s="160">
        <f t="shared" si="0"/>
        <v>41826</v>
      </c>
      <c r="B17" s="161">
        <v>20447000</v>
      </c>
      <c r="C17" s="304">
        <v>0</v>
      </c>
      <c r="D17" s="161">
        <v>4571000</v>
      </c>
      <c r="E17" s="161">
        <v>4097000</v>
      </c>
    </row>
    <row r="18" spans="1:5" x14ac:dyDescent="0.2">
      <c r="A18" s="160">
        <f t="shared" si="0"/>
        <v>41857</v>
      </c>
      <c r="B18" s="161">
        <v>20353000</v>
      </c>
      <c r="C18" s="304">
        <v>35000</v>
      </c>
      <c r="D18" s="161">
        <v>4483000</v>
      </c>
      <c r="E18" s="161">
        <v>3629000</v>
      </c>
    </row>
    <row r="19" spans="1:5" x14ac:dyDescent="0.2">
      <c r="A19" s="160">
        <f t="shared" si="0"/>
        <v>41888</v>
      </c>
      <c r="B19" s="161">
        <v>18121000</v>
      </c>
      <c r="C19" s="161">
        <v>10565000</v>
      </c>
      <c r="D19" s="161">
        <v>4020000</v>
      </c>
      <c r="E19" s="161">
        <v>3849000</v>
      </c>
    </row>
    <row r="20" spans="1:5" x14ac:dyDescent="0.2">
      <c r="A20" s="205" t="s">
        <v>79</v>
      </c>
      <c r="B20" s="161">
        <f>SUM(B8:B19)</f>
        <v>141761000</v>
      </c>
      <c r="C20" s="161">
        <f>SUM(C8:C19)</f>
        <v>70759000</v>
      </c>
      <c r="D20" s="161">
        <f>SUM(D8:D19)</f>
        <v>46260000</v>
      </c>
      <c r="E20" s="161">
        <f>SUM(E8:E19)</f>
        <v>19569528</v>
      </c>
    </row>
    <row r="21" spans="1:5" ht="13.5" thickBot="1" x14ac:dyDescent="0.25">
      <c r="A21" s="208" t="s">
        <v>81</v>
      </c>
      <c r="B21" s="209">
        <f>+B20/325851</f>
        <v>435.04853445286341</v>
      </c>
      <c r="C21" s="209">
        <f>+C20/325851</f>
        <v>217.15139741783821</v>
      </c>
      <c r="D21" s="209">
        <f>+D20/325851</f>
        <v>141.96672712374675</v>
      </c>
      <c r="E21" s="209">
        <f>+E20/325851</f>
        <v>60.056676210906211</v>
      </c>
    </row>
    <row r="22" spans="1:5" x14ac:dyDescent="0.2">
      <c r="A22" s="104"/>
    </row>
    <row r="23" spans="1:5" ht="13.5" thickBot="1" x14ac:dyDescent="0.25">
      <c r="A23" s="263"/>
      <c r="B23" s="264"/>
      <c r="C23" s="264"/>
      <c r="D23" s="264"/>
      <c r="E23" s="264"/>
    </row>
    <row r="24" spans="1:5" x14ac:dyDescent="0.2">
      <c r="A24" s="443" t="s">
        <v>93</v>
      </c>
      <c r="B24" s="444"/>
      <c r="C24" s="444"/>
      <c r="D24" s="444"/>
      <c r="E24" s="444"/>
    </row>
    <row r="25" spans="1:5" x14ac:dyDescent="0.2">
      <c r="A25" s="104"/>
      <c r="B25" s="81"/>
      <c r="C25" s="81"/>
      <c r="D25" s="81"/>
      <c r="E25" s="81"/>
    </row>
    <row r="26" spans="1:5" x14ac:dyDescent="0.2">
      <c r="A26" s="104"/>
      <c r="B26" s="81" t="s">
        <v>48</v>
      </c>
      <c r="C26" s="81" t="s">
        <v>51</v>
      </c>
      <c r="D26" s="81" t="s">
        <v>52</v>
      </c>
      <c r="E26" s="81" t="s">
        <v>55</v>
      </c>
    </row>
    <row r="27" spans="1:5" ht="13.5" thickBot="1" x14ac:dyDescent="0.25">
      <c r="A27" s="138"/>
      <c r="B27" s="139" t="s">
        <v>91</v>
      </c>
      <c r="C27" s="139" t="s">
        <v>91</v>
      </c>
      <c r="D27" s="139" t="s">
        <v>91</v>
      </c>
      <c r="E27" s="139" t="s">
        <v>91</v>
      </c>
    </row>
    <row r="28" spans="1:5" x14ac:dyDescent="0.2">
      <c r="A28" s="104">
        <v>41548</v>
      </c>
      <c r="B28" s="186">
        <v>12777000</v>
      </c>
      <c r="C28" s="186">
        <v>7793000</v>
      </c>
      <c r="D28" s="186">
        <v>4766000</v>
      </c>
      <c r="E28" s="161">
        <v>3433000</v>
      </c>
    </row>
    <row r="29" spans="1:5" x14ac:dyDescent="0.2">
      <c r="A29" s="104">
        <v>41579</v>
      </c>
      <c r="B29" s="161">
        <v>12435000</v>
      </c>
      <c r="C29" s="161">
        <v>7457000</v>
      </c>
      <c r="D29" s="161">
        <v>4123000</v>
      </c>
      <c r="E29" s="161">
        <v>3462000</v>
      </c>
    </row>
    <row r="30" spans="1:5" x14ac:dyDescent="0.2">
      <c r="A30" s="104">
        <v>41609</v>
      </c>
      <c r="B30" s="161">
        <v>12600000</v>
      </c>
      <c r="C30" s="161">
        <v>7656000</v>
      </c>
      <c r="D30" s="161">
        <v>4031000</v>
      </c>
      <c r="E30" s="161">
        <v>3280000</v>
      </c>
    </row>
    <row r="31" spans="1:5" x14ac:dyDescent="0.2">
      <c r="A31" s="160">
        <v>41640</v>
      </c>
      <c r="B31" s="186">
        <v>12060000</v>
      </c>
      <c r="C31" s="161">
        <v>7781000</v>
      </c>
      <c r="D31" s="304">
        <v>2445000</v>
      </c>
      <c r="E31" s="304">
        <v>3315000</v>
      </c>
    </row>
    <row r="32" spans="1:5" x14ac:dyDescent="0.2">
      <c r="A32" s="160">
        <f t="shared" ref="A32:A39" si="1">31+A31</f>
        <v>41671</v>
      </c>
      <c r="B32" s="186">
        <v>10375000</v>
      </c>
      <c r="C32" s="161">
        <v>6754000</v>
      </c>
      <c r="D32" s="304">
        <v>2345000</v>
      </c>
      <c r="E32" s="304">
        <v>3346000</v>
      </c>
    </row>
    <row r="33" spans="1:5" s="256" customFormat="1" x14ac:dyDescent="0.2">
      <c r="A33" s="160">
        <f t="shared" si="1"/>
        <v>41702</v>
      </c>
      <c r="B33" s="186">
        <v>11216000</v>
      </c>
      <c r="C33" s="161">
        <v>7406000</v>
      </c>
      <c r="D33" s="161">
        <v>3831000</v>
      </c>
      <c r="E33" s="304">
        <v>1350000</v>
      </c>
    </row>
    <row r="34" spans="1:5" x14ac:dyDescent="0.2">
      <c r="A34" s="160">
        <f t="shared" si="1"/>
        <v>41733</v>
      </c>
      <c r="B34" s="304">
        <v>17261000</v>
      </c>
      <c r="C34" s="161">
        <v>6854000</v>
      </c>
      <c r="D34" s="161">
        <v>4923000</v>
      </c>
      <c r="E34" s="304">
        <v>3854000</v>
      </c>
    </row>
    <row r="35" spans="1:5" x14ac:dyDescent="0.2">
      <c r="A35" s="160">
        <f t="shared" si="1"/>
        <v>41764</v>
      </c>
      <c r="B35" s="304">
        <v>17140000</v>
      </c>
      <c r="C35" s="161">
        <v>6269000</v>
      </c>
      <c r="D35" s="161">
        <v>4858000</v>
      </c>
      <c r="E35" s="161">
        <v>3126240</v>
      </c>
    </row>
    <row r="36" spans="1:5" x14ac:dyDescent="0.2">
      <c r="A36" s="160">
        <f t="shared" si="1"/>
        <v>41795</v>
      </c>
      <c r="B36" s="304">
        <v>16815000</v>
      </c>
      <c r="C36" s="304">
        <v>6377000</v>
      </c>
      <c r="D36" s="161">
        <v>4918000</v>
      </c>
      <c r="E36" s="161">
        <v>4573000</v>
      </c>
    </row>
    <row r="37" spans="1:5" x14ac:dyDescent="0.2">
      <c r="A37" s="160">
        <f t="shared" si="1"/>
        <v>41826</v>
      </c>
      <c r="B37" s="161">
        <v>20447000</v>
      </c>
      <c r="C37" s="304">
        <v>6375000</v>
      </c>
      <c r="D37" s="161">
        <v>4571000</v>
      </c>
      <c r="E37" s="161">
        <v>4097000</v>
      </c>
    </row>
    <row r="38" spans="1:5" x14ac:dyDescent="0.2">
      <c r="A38" s="160">
        <f t="shared" si="1"/>
        <v>41857</v>
      </c>
      <c r="B38" s="161">
        <v>20353000</v>
      </c>
      <c r="C38" s="304">
        <v>5963000</v>
      </c>
      <c r="D38" s="161">
        <v>4483000</v>
      </c>
      <c r="E38" s="161">
        <v>3629000</v>
      </c>
    </row>
    <row r="39" spans="1:5" x14ac:dyDescent="0.2">
      <c r="A39" s="160">
        <f t="shared" si="1"/>
        <v>41888</v>
      </c>
      <c r="B39" s="161">
        <v>18121000</v>
      </c>
      <c r="C39" s="161">
        <v>10565000</v>
      </c>
      <c r="D39" s="161">
        <v>4020000</v>
      </c>
      <c r="E39" s="161">
        <v>3849000</v>
      </c>
    </row>
    <row r="40" spans="1:5" x14ac:dyDescent="0.2">
      <c r="A40" s="205" t="s">
        <v>79</v>
      </c>
      <c r="B40" s="161">
        <f>SUM(B28:B39)</f>
        <v>181600000</v>
      </c>
      <c r="C40" s="161">
        <f>SUM(C28:C39)</f>
        <v>87250000</v>
      </c>
      <c r="D40" s="161">
        <f>SUM(D28:D39)</f>
        <v>49314000</v>
      </c>
      <c r="E40" s="161">
        <f>SUM(E28:E39)</f>
        <v>41314240</v>
      </c>
    </row>
    <row r="41" spans="1:5" ht="13.5" thickBot="1" x14ac:dyDescent="0.25">
      <c r="A41" s="208" t="s">
        <v>81</v>
      </c>
      <c r="B41" s="209">
        <f>+B40/325851</f>
        <v>557.30993613645501</v>
      </c>
      <c r="C41" s="209">
        <f>+C40/325851</f>
        <v>267.76041810520758</v>
      </c>
      <c r="D41" s="209">
        <f>+D40/325851</f>
        <v>151.33910897925739</v>
      </c>
      <c r="E41" s="209">
        <f>+E40/325851</f>
        <v>126.78874700399876</v>
      </c>
    </row>
    <row r="42" spans="1:5" x14ac:dyDescent="0.2">
      <c r="A42" s="83"/>
      <c r="B42" s="83"/>
      <c r="C42" s="83"/>
      <c r="D42" s="83"/>
      <c r="E42" s="83"/>
    </row>
    <row r="43" spans="1:5" x14ac:dyDescent="0.2">
      <c r="A43" s="83"/>
      <c r="B43" s="83"/>
      <c r="C43" s="83"/>
      <c r="D43" s="83"/>
      <c r="E43" s="83"/>
    </row>
    <row r="44" spans="1:5" x14ac:dyDescent="0.2">
      <c r="A44" s="83" t="s">
        <v>140</v>
      </c>
      <c r="B44" s="83"/>
      <c r="C44" s="83"/>
      <c r="D44" s="83"/>
      <c r="E44" s="83"/>
    </row>
    <row r="45" spans="1:5" x14ac:dyDescent="0.2">
      <c r="A45" s="83"/>
      <c r="B45" s="83"/>
      <c r="C45" s="83"/>
      <c r="D45" s="83"/>
      <c r="E45" s="83"/>
    </row>
    <row r="46" spans="1:5" x14ac:dyDescent="0.2">
      <c r="A46" s="83"/>
      <c r="B46" s="83"/>
      <c r="C46" s="83"/>
      <c r="D46" s="83"/>
      <c r="E46" s="83"/>
    </row>
    <row r="47" spans="1:5" x14ac:dyDescent="0.2">
      <c r="A47" s="83"/>
      <c r="B47" s="83"/>
      <c r="C47" s="83"/>
      <c r="D47" s="83"/>
      <c r="E47" s="83"/>
    </row>
    <row r="48" spans="1:5" x14ac:dyDescent="0.2">
      <c r="A48" s="83" t="s">
        <v>141</v>
      </c>
      <c r="B48" s="83"/>
      <c r="C48" s="83"/>
      <c r="D48" s="83"/>
      <c r="E48" s="83"/>
    </row>
    <row r="49" spans="1:5" x14ac:dyDescent="0.2">
      <c r="A49" s="83"/>
      <c r="B49" s="83"/>
      <c r="C49" s="83"/>
      <c r="D49" s="83"/>
      <c r="E49" s="83"/>
    </row>
    <row r="50" spans="1:5" x14ac:dyDescent="0.2">
      <c r="A50" s="83"/>
      <c r="B50" s="83"/>
      <c r="C50" s="83"/>
      <c r="D50" s="83"/>
      <c r="E50" s="83"/>
    </row>
    <row r="51" spans="1:5" x14ac:dyDescent="0.2">
      <c r="A51" s="104"/>
      <c r="B51" s="81"/>
      <c r="C51" s="81"/>
      <c r="D51" s="81"/>
      <c r="E51" s="81"/>
    </row>
    <row r="52" spans="1:5" x14ac:dyDescent="0.2">
      <c r="A52" s="104"/>
      <c r="B52" s="81" t="s">
        <v>48</v>
      </c>
      <c r="C52" s="81" t="s">
        <v>51</v>
      </c>
      <c r="D52" s="81" t="s">
        <v>52</v>
      </c>
      <c r="E52" s="81" t="s">
        <v>55</v>
      </c>
    </row>
    <row r="53" spans="1:5" ht="13.5" thickBot="1" x14ac:dyDescent="0.25">
      <c r="A53" s="138"/>
      <c r="B53" s="139"/>
      <c r="C53" s="139"/>
      <c r="D53" s="139"/>
      <c r="E53" s="139"/>
    </row>
    <row r="54" spans="1:5" ht="25.5" x14ac:dyDescent="0.2">
      <c r="A54" s="205" t="s">
        <v>95</v>
      </c>
      <c r="B54" s="161">
        <v>181600000</v>
      </c>
      <c r="C54" s="161">
        <v>87250000</v>
      </c>
      <c r="D54" s="161">
        <v>49314000</v>
      </c>
      <c r="E54" s="161">
        <v>41314240</v>
      </c>
    </row>
    <row r="55" spans="1:5" ht="26.25" thickBot="1" x14ac:dyDescent="0.25">
      <c r="A55" s="208" t="s">
        <v>94</v>
      </c>
      <c r="B55" s="209">
        <f>+B54/325851</f>
        <v>557.30993613645501</v>
      </c>
      <c r="C55" s="209">
        <f>+C54/325851</f>
        <v>267.76041810520758</v>
      </c>
      <c r="D55" s="209">
        <f>+D54/325851</f>
        <v>151.33910897925739</v>
      </c>
      <c r="E55" s="209">
        <f>+E54/325851</f>
        <v>126.78874700399876</v>
      </c>
    </row>
    <row r="56" spans="1:5" ht="25.5" x14ac:dyDescent="0.2">
      <c r="A56" s="205" t="s">
        <v>96</v>
      </c>
      <c r="B56" s="161">
        <v>141761000</v>
      </c>
      <c r="C56" s="161">
        <v>70759000</v>
      </c>
      <c r="D56" s="161">
        <v>46260000</v>
      </c>
      <c r="E56" s="161">
        <v>19569528</v>
      </c>
    </row>
    <row r="57" spans="1:5" ht="26.25" thickBot="1" x14ac:dyDescent="0.25">
      <c r="A57" s="208" t="s">
        <v>97</v>
      </c>
      <c r="B57" s="209">
        <f>+B56/325851</f>
        <v>435.04853445286341</v>
      </c>
      <c r="C57" s="209">
        <f>+C56/325851</f>
        <v>217.15139741783821</v>
      </c>
      <c r="D57" s="209">
        <f>+D56/325851</f>
        <v>141.96672712374675</v>
      </c>
      <c r="E57" s="209">
        <f>+E56/325851</f>
        <v>60.056676210906211</v>
      </c>
    </row>
    <row r="58" spans="1:5" x14ac:dyDescent="0.2">
      <c r="A58" s="83"/>
      <c r="B58" s="81"/>
      <c r="C58" s="81"/>
      <c r="D58" s="83"/>
      <c r="E58" s="83"/>
    </row>
    <row r="59" spans="1:5" x14ac:dyDescent="0.2">
      <c r="A59" s="83" t="s">
        <v>98</v>
      </c>
      <c r="B59" s="107">
        <f>B54-B56</f>
        <v>39839000</v>
      </c>
      <c r="C59" s="107">
        <f t="shared" ref="C59:E59" si="2">C54-C56</f>
        <v>16491000</v>
      </c>
      <c r="D59" s="107">
        <f t="shared" si="2"/>
        <v>3054000</v>
      </c>
      <c r="E59" s="107">
        <f t="shared" si="2"/>
        <v>21744712</v>
      </c>
    </row>
    <row r="60" spans="1:5" x14ac:dyDescent="0.2">
      <c r="A60" s="83" t="s">
        <v>99</v>
      </c>
      <c r="B60" s="320">
        <f>B59/325851</f>
        <v>122.26140168359159</v>
      </c>
      <c r="C60" s="320">
        <f>C59/325851</f>
        <v>50.60902068736938</v>
      </c>
      <c r="D60" s="320">
        <f>D59/325851</f>
        <v>9.372381855510648</v>
      </c>
      <c r="E60" s="320">
        <f>E59/325851</f>
        <v>66.732070793092547</v>
      </c>
    </row>
    <row r="61" spans="1:5" x14ac:dyDescent="0.2">
      <c r="A61" s="83"/>
      <c r="B61" s="81"/>
      <c r="C61" s="81"/>
      <c r="D61" s="83"/>
      <c r="E61" s="83"/>
    </row>
    <row r="62" spans="1:5" x14ac:dyDescent="0.2">
      <c r="A62" s="83" t="s">
        <v>100</v>
      </c>
      <c r="B62" s="323">
        <f>B60+C60+D60+E60</f>
        <v>248.97487501956414</v>
      </c>
      <c r="C62" s="81"/>
      <c r="D62" s="83"/>
      <c r="E62" s="83"/>
    </row>
    <row r="63" spans="1:5" x14ac:dyDescent="0.2">
      <c r="A63" s="83"/>
      <c r="B63" s="81"/>
      <c r="C63" s="81"/>
      <c r="D63" s="83"/>
      <c r="E63" s="83"/>
    </row>
    <row r="64" spans="1:5" x14ac:dyDescent="0.2">
      <c r="A64" s="83"/>
      <c r="B64" s="81"/>
      <c r="C64" s="81"/>
      <c r="D64" s="83"/>
      <c r="E64" s="83"/>
    </row>
    <row r="65" spans="1:5" x14ac:dyDescent="0.2">
      <c r="A65" s="83"/>
      <c r="B65" s="81"/>
      <c r="C65" s="81"/>
      <c r="D65" s="83"/>
      <c r="E65" s="83"/>
    </row>
    <row r="66" spans="1:5" x14ac:dyDescent="0.2">
      <c r="A66" s="83"/>
      <c r="B66" s="81"/>
      <c r="C66" s="81"/>
      <c r="D66" s="83"/>
      <c r="E66" s="83"/>
    </row>
    <row r="67" spans="1:5" x14ac:dyDescent="0.2">
      <c r="A67" s="83"/>
      <c r="B67" s="81"/>
      <c r="C67" s="81"/>
      <c r="D67" s="83"/>
      <c r="E67" s="83"/>
    </row>
    <row r="68" spans="1:5" x14ac:dyDescent="0.2">
      <c r="A68" s="83"/>
      <c r="B68" s="81"/>
      <c r="C68" s="81"/>
      <c r="D68" s="83"/>
      <c r="E68" s="83"/>
    </row>
    <row r="69" spans="1:5" x14ac:dyDescent="0.2">
      <c r="A69" s="83"/>
      <c r="B69" s="81"/>
      <c r="C69" s="81"/>
      <c r="D69" s="83"/>
      <c r="E69" s="83"/>
    </row>
    <row r="70" spans="1:5" x14ac:dyDescent="0.2">
      <c r="A70" s="83"/>
      <c r="B70" s="81"/>
      <c r="C70" s="81"/>
      <c r="D70" s="83"/>
      <c r="E70" s="83"/>
    </row>
    <row r="71" spans="1:5" x14ac:dyDescent="0.2">
      <c r="A71" s="83"/>
      <c r="B71" s="81"/>
      <c r="C71" s="81"/>
      <c r="D71" s="83"/>
      <c r="E71" s="83"/>
    </row>
    <row r="72" spans="1:5" x14ac:dyDescent="0.2">
      <c r="A72" s="83"/>
      <c r="B72" s="81"/>
      <c r="C72" s="81"/>
      <c r="D72" s="83"/>
      <c r="E72" s="83"/>
    </row>
    <row r="73" spans="1:5" x14ac:dyDescent="0.2">
      <c r="A73" s="83"/>
      <c r="B73" s="81"/>
      <c r="C73" s="81"/>
      <c r="D73" s="83"/>
      <c r="E73" s="83"/>
    </row>
    <row r="74" spans="1:5" x14ac:dyDescent="0.2">
      <c r="A74" s="83"/>
      <c r="B74" s="81"/>
      <c r="C74" s="81"/>
      <c r="D74" s="83"/>
      <c r="E74" s="83"/>
    </row>
    <row r="75" spans="1:5" x14ac:dyDescent="0.2">
      <c r="A75" s="83"/>
      <c r="B75" s="81"/>
      <c r="C75" s="81"/>
      <c r="D75" s="83"/>
      <c r="E75" s="83"/>
    </row>
    <row r="76" spans="1:5" x14ac:dyDescent="0.2">
      <c r="A76" s="83"/>
      <c r="B76" s="81"/>
      <c r="C76" s="81"/>
      <c r="D76" s="83"/>
      <c r="E76" s="83"/>
    </row>
    <row r="77" spans="1:5" x14ac:dyDescent="0.2">
      <c r="A77" s="83"/>
      <c r="B77" s="81"/>
      <c r="C77" s="81"/>
      <c r="D77" s="83"/>
      <c r="E77" s="83"/>
    </row>
    <row r="78" spans="1:5" x14ac:dyDescent="0.2">
      <c r="A78" s="83"/>
      <c r="B78" s="81"/>
      <c r="C78" s="81"/>
      <c r="D78" s="83"/>
      <c r="E78" s="83"/>
    </row>
    <row r="79" spans="1:5" x14ac:dyDescent="0.2">
      <c r="A79" s="83"/>
      <c r="B79" s="81"/>
      <c r="C79" s="81"/>
      <c r="D79" s="83"/>
      <c r="E79" s="83"/>
    </row>
    <row r="80" spans="1:5" x14ac:dyDescent="0.2">
      <c r="A80" s="83"/>
      <c r="B80" s="81"/>
      <c r="C80" s="81"/>
      <c r="D80" s="83"/>
      <c r="E80" s="83"/>
    </row>
    <row r="81" spans="1:5" x14ac:dyDescent="0.2">
      <c r="A81" s="83"/>
      <c r="B81" s="81"/>
      <c r="C81" s="81"/>
      <c r="D81" s="83"/>
      <c r="E81" s="83"/>
    </row>
    <row r="82" spans="1:5" x14ac:dyDescent="0.2">
      <c r="A82" s="83"/>
      <c r="B82" s="81"/>
      <c r="C82" s="81"/>
      <c r="D82" s="83"/>
      <c r="E82" s="83"/>
    </row>
    <row r="83" spans="1:5" x14ac:dyDescent="0.2">
      <c r="A83" s="83"/>
      <c r="B83" s="81"/>
      <c r="C83" s="81"/>
      <c r="D83" s="83"/>
      <c r="E83" s="83"/>
    </row>
    <row r="84" spans="1:5" x14ac:dyDescent="0.2">
      <c r="A84" s="83"/>
      <c r="B84" s="81"/>
      <c r="C84" s="81"/>
      <c r="D84" s="83"/>
      <c r="E84" s="83"/>
    </row>
    <row r="85" spans="1:5" x14ac:dyDescent="0.2">
      <c r="A85" s="83"/>
      <c r="B85" s="81"/>
      <c r="C85" s="81"/>
      <c r="D85" s="83"/>
      <c r="E85" s="83"/>
    </row>
    <row r="86" spans="1:5" x14ac:dyDescent="0.2">
      <c r="A86" s="83"/>
      <c r="B86" s="81"/>
      <c r="C86" s="81"/>
      <c r="D86" s="83"/>
      <c r="E86" s="83"/>
    </row>
    <row r="87" spans="1:5" x14ac:dyDescent="0.2">
      <c r="A87" s="83"/>
      <c r="B87" s="81"/>
      <c r="C87" s="81"/>
      <c r="D87" s="83"/>
      <c r="E87" s="83"/>
    </row>
    <row r="88" spans="1:5" x14ac:dyDescent="0.2">
      <c r="A88" s="83"/>
      <c r="B88" s="81"/>
      <c r="C88" s="81"/>
      <c r="D88" s="83"/>
      <c r="E88" s="83"/>
    </row>
    <row r="89" spans="1:5" x14ac:dyDescent="0.2">
      <c r="A89" s="83"/>
      <c r="B89" s="81"/>
      <c r="C89" s="81"/>
      <c r="D89" s="83"/>
      <c r="E89" s="83"/>
    </row>
    <row r="90" spans="1:5" x14ac:dyDescent="0.2">
      <c r="A90" s="83"/>
      <c r="B90" s="81"/>
      <c r="C90" s="81"/>
      <c r="D90" s="83"/>
      <c r="E90" s="83"/>
    </row>
    <row r="91" spans="1:5" x14ac:dyDescent="0.2">
      <c r="A91" s="83"/>
      <c r="B91" s="81"/>
      <c r="C91" s="81"/>
      <c r="D91" s="83"/>
      <c r="E91" s="83"/>
    </row>
    <row r="92" spans="1:5" x14ac:dyDescent="0.2">
      <c r="A92" s="83"/>
      <c r="B92" s="81"/>
      <c r="C92" s="81"/>
      <c r="D92" s="83"/>
      <c r="E92" s="83"/>
    </row>
    <row r="93" spans="1:5" x14ac:dyDescent="0.2">
      <c r="A93" s="83"/>
      <c r="B93" s="81"/>
      <c r="C93" s="81"/>
      <c r="D93" s="83"/>
      <c r="E93" s="83"/>
    </row>
    <row r="94" spans="1:5" x14ac:dyDescent="0.2">
      <c r="A94" s="83"/>
      <c r="B94" s="81"/>
      <c r="C94" s="81"/>
      <c r="D94" s="83"/>
      <c r="E94" s="83"/>
    </row>
    <row r="95" spans="1:5" x14ac:dyDescent="0.2">
      <c r="A95" s="83"/>
      <c r="B95" s="81"/>
      <c r="C95" s="81"/>
      <c r="D95" s="83"/>
      <c r="E95" s="83"/>
    </row>
    <row r="96" spans="1:5" x14ac:dyDescent="0.2">
      <c r="A96" s="83"/>
      <c r="B96" s="81"/>
      <c r="C96" s="81"/>
      <c r="D96" s="83"/>
      <c r="E96" s="83"/>
    </row>
    <row r="97" spans="1:5" x14ac:dyDescent="0.2">
      <c r="A97" s="83"/>
      <c r="B97" s="81"/>
      <c r="C97" s="81"/>
      <c r="D97" s="83"/>
      <c r="E97" s="83"/>
    </row>
    <row r="98" spans="1:5" x14ac:dyDescent="0.2">
      <c r="A98" s="83"/>
      <c r="B98" s="81"/>
      <c r="C98" s="81"/>
      <c r="D98" s="83"/>
      <c r="E98" s="83"/>
    </row>
    <row r="99" spans="1:5" x14ac:dyDescent="0.2">
      <c r="A99" s="83"/>
      <c r="B99" s="81"/>
      <c r="C99" s="81"/>
      <c r="D99" s="83"/>
      <c r="E99" s="83"/>
    </row>
    <row r="100" spans="1:5" x14ac:dyDescent="0.2">
      <c r="A100" s="83"/>
      <c r="B100" s="81"/>
      <c r="C100" s="81"/>
      <c r="D100" s="83"/>
      <c r="E100" s="83"/>
    </row>
    <row r="101" spans="1:5" x14ac:dyDescent="0.2">
      <c r="A101" s="83"/>
      <c r="B101" s="81"/>
      <c r="C101" s="81"/>
      <c r="D101" s="83"/>
      <c r="E101" s="83"/>
    </row>
    <row r="102" spans="1:5" x14ac:dyDescent="0.2">
      <c r="A102" s="83"/>
      <c r="B102" s="81"/>
      <c r="C102" s="81"/>
      <c r="D102" s="83"/>
      <c r="E102" s="83"/>
    </row>
    <row r="103" spans="1:5" x14ac:dyDescent="0.2">
      <c r="A103" s="83"/>
      <c r="B103" s="81"/>
      <c r="C103" s="81"/>
      <c r="D103" s="83"/>
      <c r="E103" s="83"/>
    </row>
    <row r="104" spans="1:5" x14ac:dyDescent="0.2">
      <c r="A104" s="83"/>
      <c r="B104" s="81"/>
      <c r="C104" s="81"/>
      <c r="D104" s="83"/>
      <c r="E104" s="83"/>
    </row>
    <row r="105" spans="1:5" x14ac:dyDescent="0.2">
      <c r="A105" s="83"/>
      <c r="B105" s="81"/>
      <c r="C105" s="81"/>
      <c r="D105" s="83"/>
      <c r="E105" s="83"/>
    </row>
    <row r="106" spans="1:5" x14ac:dyDescent="0.2">
      <c r="A106" s="83"/>
      <c r="B106" s="81"/>
      <c r="C106" s="81"/>
      <c r="D106" s="83"/>
      <c r="E106" s="83"/>
    </row>
    <row r="107" spans="1:5" x14ac:dyDescent="0.2">
      <c r="A107" s="83"/>
      <c r="B107" s="81"/>
      <c r="C107" s="81"/>
      <c r="D107" s="83"/>
      <c r="E107" s="83"/>
    </row>
    <row r="108" spans="1:5" x14ac:dyDescent="0.2">
      <c r="A108" s="83"/>
      <c r="B108" s="81"/>
      <c r="C108" s="81"/>
      <c r="D108" s="83"/>
      <c r="E108" s="83"/>
    </row>
    <row r="109" spans="1:5" x14ac:dyDescent="0.2">
      <c r="A109" s="83"/>
      <c r="B109" s="81"/>
      <c r="C109" s="81"/>
      <c r="D109" s="83"/>
      <c r="E109" s="83"/>
    </row>
    <row r="110" spans="1:5" x14ac:dyDescent="0.2">
      <c r="A110" s="83"/>
      <c r="B110" s="81"/>
      <c r="C110" s="81"/>
      <c r="D110" s="83"/>
      <c r="E110" s="83"/>
    </row>
    <row r="111" spans="1:5" x14ac:dyDescent="0.2">
      <c r="A111" s="83"/>
      <c r="B111" s="81"/>
      <c r="C111" s="81"/>
      <c r="D111" s="83"/>
      <c r="E111" s="83"/>
    </row>
    <row r="112" spans="1:5" x14ac:dyDescent="0.2">
      <c r="A112" s="83"/>
      <c r="B112" s="81"/>
      <c r="C112" s="81"/>
      <c r="D112" s="83"/>
      <c r="E112" s="83"/>
    </row>
    <row r="113" spans="1:5" x14ac:dyDescent="0.2">
      <c r="A113" s="83"/>
      <c r="B113" s="81"/>
      <c r="C113" s="81"/>
      <c r="D113" s="83"/>
      <c r="E113" s="83"/>
    </row>
    <row r="114" spans="1:5" x14ac:dyDescent="0.2">
      <c r="A114" s="83"/>
      <c r="B114" s="81"/>
      <c r="C114" s="81"/>
      <c r="D114" s="83"/>
      <c r="E114" s="83"/>
    </row>
    <row r="115" spans="1:5" x14ac:dyDescent="0.2">
      <c r="A115" s="83"/>
      <c r="B115" s="81"/>
      <c r="C115" s="81"/>
      <c r="D115" s="83"/>
      <c r="E115" s="83"/>
    </row>
    <row r="116" spans="1:5" x14ac:dyDescent="0.2">
      <c r="A116" s="83"/>
      <c r="B116" s="81"/>
      <c r="C116" s="81"/>
      <c r="D116" s="83"/>
      <c r="E116" s="83"/>
    </row>
    <row r="117" spans="1:5" x14ac:dyDescent="0.2">
      <c r="A117" s="83"/>
      <c r="B117" s="81"/>
      <c r="C117" s="81"/>
      <c r="D117" s="83"/>
      <c r="E117" s="83"/>
    </row>
    <row r="118" spans="1:5" x14ac:dyDescent="0.2">
      <c r="A118" s="83"/>
      <c r="B118" s="81"/>
      <c r="C118" s="81"/>
      <c r="D118" s="83"/>
      <c r="E118" s="83"/>
    </row>
    <row r="119" spans="1:5" x14ac:dyDescent="0.2">
      <c r="A119" s="83"/>
      <c r="B119" s="81"/>
      <c r="C119" s="81"/>
      <c r="D119" s="83"/>
      <c r="E119" s="83"/>
    </row>
    <row r="120" spans="1:5" x14ac:dyDescent="0.2">
      <c r="A120" s="83"/>
      <c r="B120" s="81"/>
      <c r="C120" s="81"/>
      <c r="D120" s="83"/>
      <c r="E120" s="83"/>
    </row>
    <row r="121" spans="1:5" x14ac:dyDescent="0.2">
      <c r="A121" s="83"/>
      <c r="B121" s="81"/>
      <c r="C121" s="81"/>
      <c r="D121" s="83"/>
      <c r="E121" s="83"/>
    </row>
    <row r="122" spans="1:5" x14ac:dyDescent="0.2">
      <c r="A122" s="83"/>
      <c r="B122" s="81"/>
      <c r="C122" s="81"/>
      <c r="D122" s="83"/>
      <c r="E122" s="83"/>
    </row>
    <row r="123" spans="1:5" x14ac:dyDescent="0.2">
      <c r="A123" s="83"/>
      <c r="B123" s="81"/>
      <c r="C123" s="81"/>
      <c r="D123" s="83"/>
      <c r="E123" s="83"/>
    </row>
    <row r="124" spans="1:5" x14ac:dyDescent="0.2">
      <c r="A124" s="83"/>
      <c r="B124" s="81"/>
      <c r="C124" s="81"/>
      <c r="D124" s="83"/>
      <c r="E124" s="83"/>
    </row>
    <row r="125" spans="1:5" x14ac:dyDescent="0.2">
      <c r="A125" s="83"/>
      <c r="B125" s="81"/>
      <c r="C125" s="81"/>
      <c r="D125" s="83"/>
      <c r="E125" s="83"/>
    </row>
    <row r="126" spans="1:5" x14ac:dyDescent="0.2">
      <c r="A126" s="83"/>
      <c r="B126" s="81"/>
      <c r="C126" s="81"/>
      <c r="D126" s="83"/>
      <c r="E126" s="83"/>
    </row>
    <row r="127" spans="1:5" x14ac:dyDescent="0.2">
      <c r="A127" s="83"/>
      <c r="B127" s="81"/>
      <c r="C127" s="81"/>
      <c r="D127" s="83"/>
      <c r="E127" s="83"/>
    </row>
    <row r="128" spans="1:5" x14ac:dyDescent="0.2">
      <c r="A128" s="83"/>
      <c r="B128" s="81"/>
      <c r="C128" s="81"/>
      <c r="D128" s="83"/>
      <c r="E128" s="83"/>
    </row>
    <row r="129" spans="1:5" x14ac:dyDescent="0.2">
      <c r="A129" s="83"/>
      <c r="B129" s="81"/>
      <c r="C129" s="81"/>
      <c r="D129" s="83"/>
      <c r="E129" s="83"/>
    </row>
    <row r="130" spans="1:5" x14ac:dyDescent="0.2">
      <c r="A130" s="83"/>
      <c r="B130" s="81"/>
      <c r="C130" s="81"/>
      <c r="D130" s="83"/>
      <c r="E130" s="83"/>
    </row>
    <row r="131" spans="1:5" x14ac:dyDescent="0.2">
      <c r="A131" s="83"/>
      <c r="B131" s="81"/>
      <c r="C131" s="81"/>
      <c r="D131" s="83"/>
      <c r="E131" s="83"/>
    </row>
    <row r="132" spans="1:5" x14ac:dyDescent="0.2">
      <c r="A132" s="83"/>
      <c r="B132" s="81"/>
      <c r="C132" s="81"/>
      <c r="D132" s="83"/>
      <c r="E132" s="83"/>
    </row>
    <row r="133" spans="1:5" x14ac:dyDescent="0.2">
      <c r="A133" s="83"/>
      <c r="B133" s="81"/>
      <c r="C133" s="81"/>
      <c r="D133" s="83"/>
      <c r="E133" s="83"/>
    </row>
    <row r="134" spans="1:5" x14ac:dyDescent="0.2">
      <c r="A134" s="83"/>
      <c r="B134" s="81"/>
      <c r="C134" s="81"/>
      <c r="D134" s="83"/>
      <c r="E134" s="83"/>
    </row>
    <row r="135" spans="1:5" x14ac:dyDescent="0.2">
      <c r="A135" s="83"/>
      <c r="B135" s="81"/>
      <c r="C135" s="81"/>
      <c r="D135" s="83"/>
      <c r="E135" s="83"/>
    </row>
    <row r="136" spans="1:5" x14ac:dyDescent="0.2">
      <c r="A136" s="83"/>
      <c r="B136" s="81"/>
      <c r="C136" s="81"/>
      <c r="D136" s="83"/>
      <c r="E136" s="83"/>
    </row>
    <row r="137" spans="1:5" x14ac:dyDescent="0.2">
      <c r="A137" s="83"/>
      <c r="B137" s="81"/>
      <c r="C137" s="81"/>
      <c r="D137" s="83"/>
      <c r="E137" s="83"/>
    </row>
    <row r="138" spans="1:5" x14ac:dyDescent="0.2">
      <c r="A138" s="83"/>
      <c r="B138" s="81"/>
      <c r="C138" s="81"/>
      <c r="D138" s="83"/>
      <c r="E138" s="83"/>
    </row>
    <row r="139" spans="1:5" x14ac:dyDescent="0.2">
      <c r="A139" s="83"/>
      <c r="B139" s="81"/>
      <c r="C139" s="81"/>
      <c r="D139" s="83"/>
      <c r="E139" s="83"/>
    </row>
    <row r="140" spans="1:5" x14ac:dyDescent="0.2">
      <c r="A140" s="83"/>
      <c r="B140" s="81"/>
      <c r="C140" s="81"/>
      <c r="D140" s="83"/>
      <c r="E140" s="83"/>
    </row>
    <row r="141" spans="1:5" x14ac:dyDescent="0.2">
      <c r="A141" s="83"/>
      <c r="B141" s="81"/>
      <c r="C141" s="81"/>
      <c r="D141" s="83"/>
      <c r="E141" s="83"/>
    </row>
    <row r="142" spans="1:5" x14ac:dyDescent="0.2">
      <c r="A142" s="83"/>
      <c r="B142" s="81"/>
      <c r="C142" s="81"/>
      <c r="D142" s="83"/>
      <c r="E142" s="83"/>
    </row>
    <row r="143" spans="1:5" x14ac:dyDescent="0.2">
      <c r="A143" s="83"/>
      <c r="B143" s="81"/>
      <c r="C143" s="81"/>
      <c r="D143" s="83"/>
      <c r="E143" s="83"/>
    </row>
    <row r="144" spans="1:5" x14ac:dyDescent="0.2">
      <c r="A144" s="83"/>
      <c r="B144" s="81"/>
      <c r="C144" s="81"/>
      <c r="D144" s="83"/>
      <c r="E144" s="83"/>
    </row>
    <row r="145" spans="1:5" x14ac:dyDescent="0.2">
      <c r="A145" s="83"/>
      <c r="B145" s="81"/>
      <c r="C145" s="81"/>
      <c r="D145" s="83"/>
      <c r="E145" s="83"/>
    </row>
    <row r="146" spans="1:5" x14ac:dyDescent="0.2">
      <c r="A146" s="83"/>
      <c r="B146" s="81"/>
      <c r="C146" s="81"/>
      <c r="D146" s="83"/>
      <c r="E146" s="83"/>
    </row>
    <row r="147" spans="1:5" x14ac:dyDescent="0.2">
      <c r="A147" s="83"/>
      <c r="B147" s="81"/>
      <c r="C147" s="81"/>
      <c r="D147" s="83"/>
      <c r="E147" s="83"/>
    </row>
    <row r="148" spans="1:5" x14ac:dyDescent="0.2">
      <c r="A148" s="83"/>
      <c r="B148" s="81"/>
      <c r="C148" s="81"/>
      <c r="D148" s="83"/>
      <c r="E148" s="83"/>
    </row>
    <row r="149" spans="1:5" x14ac:dyDescent="0.2">
      <c r="A149" s="83"/>
      <c r="B149" s="81"/>
      <c r="C149" s="81"/>
      <c r="D149" s="83"/>
      <c r="E149" s="83"/>
    </row>
    <row r="150" spans="1:5" x14ac:dyDescent="0.2">
      <c r="A150" s="83"/>
      <c r="B150" s="81"/>
      <c r="C150" s="81"/>
      <c r="D150" s="83"/>
      <c r="E150" s="83"/>
    </row>
    <row r="151" spans="1:5" x14ac:dyDescent="0.2">
      <c r="A151" s="83"/>
      <c r="B151" s="81"/>
      <c r="C151" s="81"/>
      <c r="D151" s="83"/>
      <c r="E151" s="83"/>
    </row>
    <row r="152" spans="1:5" x14ac:dyDescent="0.2">
      <c r="A152" s="83"/>
      <c r="B152" s="81"/>
      <c r="C152" s="81"/>
      <c r="D152" s="83"/>
      <c r="E152" s="83"/>
    </row>
    <row r="153" spans="1:5" x14ac:dyDescent="0.2">
      <c r="A153" s="83"/>
      <c r="B153" s="81"/>
      <c r="C153" s="81"/>
      <c r="D153" s="83"/>
      <c r="E153" s="83"/>
    </row>
    <row r="154" spans="1:5" x14ac:dyDescent="0.2">
      <c r="A154" s="83"/>
      <c r="B154" s="81"/>
      <c r="C154" s="81"/>
      <c r="D154" s="83"/>
      <c r="E154" s="83"/>
    </row>
    <row r="155" spans="1:5" x14ac:dyDescent="0.2">
      <c r="A155" s="83"/>
      <c r="B155" s="81"/>
      <c r="C155" s="81"/>
      <c r="D155" s="83"/>
      <c r="E155" s="83"/>
    </row>
    <row r="156" spans="1:5" x14ac:dyDescent="0.2">
      <c r="A156" s="83"/>
      <c r="B156" s="81"/>
      <c r="C156" s="81"/>
      <c r="D156" s="83"/>
      <c r="E156" s="83"/>
    </row>
    <row r="157" spans="1:5" x14ac:dyDescent="0.2">
      <c r="A157" s="83"/>
      <c r="B157" s="81"/>
      <c r="C157" s="81"/>
      <c r="D157" s="83"/>
      <c r="E157" s="83"/>
    </row>
    <row r="158" spans="1:5" x14ac:dyDescent="0.2">
      <c r="A158" s="83"/>
      <c r="B158" s="81"/>
      <c r="C158" s="81"/>
      <c r="D158" s="83"/>
      <c r="E158" s="83"/>
    </row>
    <row r="159" spans="1:5" x14ac:dyDescent="0.2">
      <c r="A159" s="83"/>
      <c r="B159" s="81"/>
      <c r="C159" s="81"/>
      <c r="D159" s="83"/>
      <c r="E159" s="83"/>
    </row>
    <row r="160" spans="1:5" x14ac:dyDescent="0.2">
      <c r="A160" s="83"/>
      <c r="B160" s="81"/>
      <c r="C160" s="81"/>
      <c r="D160" s="83"/>
      <c r="E160" s="83"/>
    </row>
    <row r="161" spans="1:5" x14ac:dyDescent="0.2">
      <c r="A161" s="83"/>
      <c r="B161" s="81"/>
      <c r="C161" s="81"/>
      <c r="D161" s="83"/>
      <c r="E161" s="83"/>
    </row>
    <row r="162" spans="1:5" x14ac:dyDescent="0.2">
      <c r="A162" s="83"/>
      <c r="B162" s="81"/>
      <c r="C162" s="81"/>
      <c r="D162" s="83"/>
      <c r="E162" s="83"/>
    </row>
    <row r="163" spans="1:5" x14ac:dyDescent="0.2">
      <c r="A163" s="83"/>
      <c r="B163" s="81"/>
      <c r="C163" s="81"/>
      <c r="D163" s="83"/>
      <c r="E163" s="83"/>
    </row>
    <row r="164" spans="1:5" x14ac:dyDescent="0.2">
      <c r="A164" s="83"/>
      <c r="B164" s="81"/>
      <c r="C164" s="81"/>
      <c r="D164" s="83"/>
      <c r="E164" s="83"/>
    </row>
    <row r="165" spans="1:5" x14ac:dyDescent="0.2">
      <c r="A165" s="83"/>
      <c r="B165" s="81"/>
      <c r="C165" s="81"/>
      <c r="D165" s="83"/>
      <c r="E165" s="83"/>
    </row>
    <row r="166" spans="1:5" x14ac:dyDescent="0.2">
      <c r="A166" s="83"/>
      <c r="B166" s="81"/>
      <c r="C166" s="81"/>
      <c r="D166" s="83"/>
      <c r="E166" s="83"/>
    </row>
    <row r="167" spans="1:5" x14ac:dyDescent="0.2">
      <c r="A167" s="83"/>
      <c r="B167" s="81"/>
      <c r="C167" s="81"/>
      <c r="D167" s="83"/>
      <c r="E167" s="83"/>
    </row>
    <row r="168" spans="1:5" x14ac:dyDescent="0.2">
      <c r="A168" s="83"/>
      <c r="B168" s="81"/>
      <c r="C168" s="81"/>
      <c r="D168" s="83"/>
      <c r="E168" s="83"/>
    </row>
    <row r="169" spans="1:5" x14ac:dyDescent="0.2">
      <c r="A169" s="83"/>
      <c r="B169" s="81"/>
      <c r="C169" s="81"/>
      <c r="D169" s="83"/>
      <c r="E169" s="83"/>
    </row>
    <row r="170" spans="1:5" x14ac:dyDescent="0.2">
      <c r="A170" s="83"/>
      <c r="B170" s="81"/>
      <c r="C170" s="81"/>
      <c r="D170" s="83"/>
      <c r="E170" s="83"/>
    </row>
    <row r="171" spans="1:5" x14ac:dyDescent="0.2">
      <c r="A171" s="83"/>
      <c r="B171" s="81"/>
      <c r="C171" s="81"/>
      <c r="D171" s="83"/>
      <c r="E171" s="83"/>
    </row>
    <row r="172" spans="1:5" x14ac:dyDescent="0.2">
      <c r="A172" s="83"/>
      <c r="B172" s="81"/>
      <c r="C172" s="81"/>
      <c r="D172" s="83"/>
      <c r="E172" s="83"/>
    </row>
    <row r="173" spans="1:5" x14ac:dyDescent="0.2">
      <c r="A173" s="83"/>
      <c r="B173" s="81"/>
      <c r="C173" s="81"/>
      <c r="D173" s="83"/>
      <c r="E173" s="83"/>
    </row>
    <row r="174" spans="1:5" x14ac:dyDescent="0.2">
      <c r="A174" s="83"/>
      <c r="B174" s="81"/>
      <c r="C174" s="81"/>
      <c r="D174" s="83"/>
      <c r="E174" s="83"/>
    </row>
    <row r="175" spans="1:5" x14ac:dyDescent="0.2">
      <c r="A175" s="83"/>
      <c r="B175" s="81"/>
      <c r="C175" s="81"/>
      <c r="D175" s="83"/>
      <c r="E175" s="83"/>
    </row>
    <row r="176" spans="1:5" x14ac:dyDescent="0.2">
      <c r="A176" s="83"/>
      <c r="B176" s="81"/>
      <c r="C176" s="81"/>
      <c r="D176" s="83"/>
      <c r="E176" s="83"/>
    </row>
    <row r="177" spans="1:5" x14ac:dyDescent="0.2">
      <c r="A177" s="83"/>
      <c r="B177" s="81"/>
      <c r="C177" s="81"/>
      <c r="D177" s="83"/>
      <c r="E177" s="83"/>
    </row>
    <row r="178" spans="1:5" x14ac:dyDescent="0.2">
      <c r="A178" s="83"/>
      <c r="B178" s="81"/>
      <c r="C178" s="81"/>
      <c r="D178" s="83"/>
      <c r="E178" s="83"/>
    </row>
    <row r="179" spans="1:5" x14ac:dyDescent="0.2">
      <c r="A179" s="83"/>
      <c r="B179" s="81"/>
      <c r="C179" s="81"/>
      <c r="D179" s="83"/>
      <c r="E179" s="83"/>
    </row>
    <row r="180" spans="1:5" x14ac:dyDescent="0.2">
      <c r="A180" s="83"/>
      <c r="B180" s="81"/>
      <c r="C180" s="81"/>
      <c r="D180" s="83"/>
      <c r="E180" s="83"/>
    </row>
    <row r="181" spans="1:5" x14ac:dyDescent="0.2">
      <c r="A181" s="83"/>
      <c r="B181" s="81"/>
      <c r="C181" s="81"/>
      <c r="D181" s="83"/>
      <c r="E181" s="83"/>
    </row>
    <row r="182" spans="1:5" x14ac:dyDescent="0.2">
      <c r="A182" s="83"/>
      <c r="B182" s="81"/>
      <c r="C182" s="81"/>
      <c r="D182" s="83"/>
      <c r="E182" s="83"/>
    </row>
    <row r="183" spans="1:5" x14ac:dyDescent="0.2">
      <c r="A183" s="83"/>
      <c r="B183" s="81"/>
      <c r="C183" s="81"/>
      <c r="D183" s="83"/>
      <c r="E183" s="83"/>
    </row>
    <row r="184" spans="1:5" x14ac:dyDescent="0.2">
      <c r="A184" s="83"/>
      <c r="B184" s="81"/>
      <c r="C184" s="81"/>
      <c r="D184" s="83"/>
      <c r="E184" s="83"/>
    </row>
    <row r="185" spans="1:5" x14ac:dyDescent="0.2">
      <c r="A185" s="83"/>
      <c r="B185" s="81"/>
      <c r="C185" s="81"/>
      <c r="D185" s="83"/>
      <c r="E185" s="83"/>
    </row>
    <row r="186" spans="1:5" x14ac:dyDescent="0.2">
      <c r="A186" s="83"/>
      <c r="B186" s="81"/>
      <c r="C186" s="81"/>
      <c r="D186" s="83"/>
      <c r="E186" s="83"/>
    </row>
    <row r="187" spans="1:5" x14ac:dyDescent="0.2">
      <c r="A187" s="83"/>
      <c r="B187" s="81"/>
      <c r="C187" s="81"/>
      <c r="D187" s="83"/>
      <c r="E187" s="83"/>
    </row>
    <row r="188" spans="1:5" x14ac:dyDescent="0.2">
      <c r="A188" s="83"/>
      <c r="B188" s="81"/>
      <c r="C188" s="81"/>
      <c r="D188" s="83"/>
      <c r="E188" s="83"/>
    </row>
    <row r="189" spans="1:5" x14ac:dyDescent="0.2">
      <c r="A189" s="83"/>
      <c r="B189" s="81"/>
      <c r="C189" s="81"/>
      <c r="D189" s="83"/>
      <c r="E189" s="83"/>
    </row>
    <row r="190" spans="1:5" x14ac:dyDescent="0.2">
      <c r="A190" s="83"/>
      <c r="B190" s="81"/>
      <c r="C190" s="81"/>
      <c r="D190" s="83"/>
      <c r="E190" s="83"/>
    </row>
    <row r="191" spans="1:5" x14ac:dyDescent="0.2">
      <c r="A191" s="83"/>
      <c r="B191" s="81"/>
      <c r="C191" s="81"/>
      <c r="D191" s="83"/>
      <c r="E191" s="83"/>
    </row>
    <row r="192" spans="1:5" x14ac:dyDescent="0.2">
      <c r="A192" s="83"/>
      <c r="B192" s="81"/>
      <c r="C192" s="81"/>
      <c r="D192" s="83"/>
      <c r="E192" s="83"/>
    </row>
    <row r="193" spans="1:5" x14ac:dyDescent="0.2">
      <c r="A193" s="83"/>
      <c r="B193" s="81"/>
      <c r="C193" s="81"/>
      <c r="D193" s="83"/>
      <c r="E193" s="83"/>
    </row>
    <row r="194" spans="1:5" x14ac:dyDescent="0.2">
      <c r="A194" s="83"/>
      <c r="B194" s="81"/>
      <c r="C194" s="81"/>
      <c r="D194" s="83"/>
      <c r="E194" s="83"/>
    </row>
    <row r="195" spans="1:5" x14ac:dyDescent="0.2">
      <c r="A195" s="83"/>
      <c r="B195" s="81"/>
      <c r="C195" s="81"/>
      <c r="D195" s="83"/>
      <c r="E195" s="83"/>
    </row>
    <row r="196" spans="1:5" x14ac:dyDescent="0.2">
      <c r="A196" s="83"/>
      <c r="B196" s="81"/>
      <c r="C196" s="81"/>
      <c r="D196" s="83"/>
      <c r="E196" s="83"/>
    </row>
    <row r="197" spans="1:5" x14ac:dyDescent="0.2">
      <c r="A197" s="83"/>
      <c r="B197" s="81"/>
      <c r="C197" s="81"/>
      <c r="D197" s="83"/>
      <c r="E197" s="83"/>
    </row>
    <row r="198" spans="1:5" x14ac:dyDescent="0.2">
      <c r="A198" s="83"/>
      <c r="B198" s="81"/>
      <c r="C198" s="81"/>
      <c r="D198" s="83"/>
      <c r="E198" s="83"/>
    </row>
    <row r="199" spans="1:5" x14ac:dyDescent="0.2">
      <c r="A199" s="83"/>
      <c r="B199" s="81"/>
      <c r="C199" s="81"/>
      <c r="D199" s="83"/>
      <c r="E199" s="83"/>
    </row>
    <row r="200" spans="1:5" x14ac:dyDescent="0.2">
      <c r="A200" s="83"/>
      <c r="B200" s="81"/>
      <c r="C200" s="81"/>
      <c r="D200" s="83"/>
      <c r="E200" s="83"/>
    </row>
    <row r="201" spans="1:5" x14ac:dyDescent="0.2">
      <c r="A201" s="83"/>
      <c r="B201" s="81"/>
      <c r="C201" s="81"/>
      <c r="D201" s="83"/>
      <c r="E201" s="83"/>
    </row>
    <row r="202" spans="1:5" x14ac:dyDescent="0.2">
      <c r="A202" s="83"/>
      <c r="B202" s="81"/>
      <c r="C202" s="81"/>
      <c r="D202" s="83"/>
      <c r="E202" s="83"/>
    </row>
    <row r="203" spans="1:5" x14ac:dyDescent="0.2">
      <c r="A203" s="83"/>
      <c r="B203" s="81"/>
      <c r="C203" s="81"/>
      <c r="D203" s="83"/>
      <c r="E203" s="83"/>
    </row>
    <row r="204" spans="1:5" x14ac:dyDescent="0.2">
      <c r="A204" s="83"/>
      <c r="B204" s="81"/>
      <c r="C204" s="81"/>
      <c r="D204" s="83"/>
      <c r="E204" s="83"/>
    </row>
    <row r="205" spans="1:5" x14ac:dyDescent="0.2">
      <c r="A205" s="83"/>
      <c r="B205" s="81"/>
      <c r="C205" s="81"/>
      <c r="D205" s="83"/>
      <c r="E205" s="83"/>
    </row>
    <row r="206" spans="1:5" x14ac:dyDescent="0.2">
      <c r="A206" s="83"/>
      <c r="B206" s="81"/>
      <c r="C206" s="81"/>
      <c r="D206" s="83"/>
      <c r="E206" s="83"/>
    </row>
    <row r="207" spans="1:5" x14ac:dyDescent="0.2">
      <c r="A207" s="83"/>
      <c r="B207" s="81"/>
      <c r="C207" s="81"/>
      <c r="D207" s="83"/>
      <c r="E207" s="83"/>
    </row>
    <row r="208" spans="1:5" x14ac:dyDescent="0.2">
      <c r="A208" s="83"/>
      <c r="B208" s="81"/>
      <c r="C208" s="81"/>
      <c r="D208" s="83"/>
      <c r="E208" s="83"/>
    </row>
    <row r="209" spans="1:5" x14ac:dyDescent="0.2">
      <c r="A209" s="83"/>
      <c r="B209" s="81"/>
      <c r="C209" s="81"/>
      <c r="D209" s="83"/>
      <c r="E209" s="83"/>
    </row>
    <row r="210" spans="1:5" x14ac:dyDescent="0.2">
      <c r="A210" s="83"/>
      <c r="B210" s="81"/>
      <c r="C210" s="81"/>
      <c r="D210" s="83"/>
      <c r="E210" s="83"/>
    </row>
    <row r="211" spans="1:5" x14ac:dyDescent="0.2">
      <c r="A211" s="83"/>
      <c r="B211" s="81"/>
      <c r="C211" s="81"/>
      <c r="D211" s="83"/>
      <c r="E211" s="83"/>
    </row>
    <row r="212" spans="1:5" x14ac:dyDescent="0.2">
      <c r="A212" s="83"/>
      <c r="B212" s="81"/>
      <c r="C212" s="81"/>
      <c r="D212" s="83"/>
      <c r="E212" s="83"/>
    </row>
    <row r="213" spans="1:5" x14ac:dyDescent="0.2">
      <c r="A213" s="83"/>
      <c r="B213" s="81"/>
      <c r="C213" s="81"/>
      <c r="D213" s="83"/>
      <c r="E213" s="83"/>
    </row>
    <row r="214" spans="1:5" x14ac:dyDescent="0.2">
      <c r="A214" s="83"/>
      <c r="B214" s="81"/>
      <c r="C214" s="81"/>
      <c r="D214" s="83"/>
      <c r="E214" s="83"/>
    </row>
    <row r="215" spans="1:5" x14ac:dyDescent="0.2">
      <c r="A215" s="83"/>
      <c r="B215" s="81"/>
      <c r="C215" s="81"/>
      <c r="D215" s="83"/>
      <c r="E215" s="83"/>
    </row>
    <row r="216" spans="1:5" x14ac:dyDescent="0.2">
      <c r="A216" s="83"/>
      <c r="B216" s="81"/>
      <c r="C216" s="81"/>
      <c r="D216" s="83"/>
      <c r="E216" s="83"/>
    </row>
    <row r="217" spans="1:5" x14ac:dyDescent="0.2">
      <c r="A217" s="83"/>
      <c r="B217" s="81"/>
      <c r="C217" s="81"/>
      <c r="D217" s="83"/>
      <c r="E217" s="83"/>
    </row>
    <row r="218" spans="1:5" x14ac:dyDescent="0.2">
      <c r="A218" s="83"/>
      <c r="B218" s="81"/>
      <c r="C218" s="81"/>
      <c r="D218" s="83"/>
      <c r="E218" s="83"/>
    </row>
    <row r="219" spans="1:5" x14ac:dyDescent="0.2">
      <c r="A219" s="83"/>
      <c r="B219" s="81"/>
      <c r="C219" s="81"/>
      <c r="D219" s="83"/>
      <c r="E219" s="83"/>
    </row>
    <row r="220" spans="1:5" x14ac:dyDescent="0.2">
      <c r="A220" s="83"/>
      <c r="B220" s="81"/>
      <c r="C220" s="81"/>
      <c r="D220" s="83"/>
      <c r="E220" s="83"/>
    </row>
    <row r="221" spans="1:5" x14ac:dyDescent="0.2">
      <c r="A221" s="83"/>
      <c r="B221" s="81"/>
      <c r="C221" s="81"/>
      <c r="D221" s="83"/>
      <c r="E221" s="83"/>
    </row>
    <row r="222" spans="1:5" x14ac:dyDescent="0.2">
      <c r="A222" s="83"/>
      <c r="B222" s="81"/>
      <c r="C222" s="81"/>
      <c r="D222" s="83"/>
      <c r="E222" s="83"/>
    </row>
    <row r="223" spans="1:5" x14ac:dyDescent="0.2">
      <c r="A223" s="83"/>
      <c r="B223" s="81"/>
      <c r="C223" s="81"/>
      <c r="D223" s="83"/>
      <c r="E223" s="83"/>
    </row>
    <row r="224" spans="1:5" x14ac:dyDescent="0.2">
      <c r="A224" s="83"/>
      <c r="B224" s="81"/>
      <c r="C224" s="81"/>
      <c r="D224" s="83"/>
      <c r="E224" s="83"/>
    </row>
    <row r="225" spans="1:5" x14ac:dyDescent="0.2">
      <c r="A225" s="83"/>
      <c r="B225" s="81"/>
      <c r="C225" s="81"/>
      <c r="D225" s="83"/>
      <c r="E225" s="83"/>
    </row>
    <row r="226" spans="1:5" x14ac:dyDescent="0.2">
      <c r="A226" s="83"/>
      <c r="B226" s="81"/>
      <c r="C226" s="81"/>
      <c r="D226" s="83"/>
      <c r="E226" s="83"/>
    </row>
    <row r="227" spans="1:5" x14ac:dyDescent="0.2">
      <c r="A227" s="83"/>
      <c r="B227" s="81"/>
      <c r="C227" s="81"/>
      <c r="D227" s="83"/>
      <c r="E227" s="83"/>
    </row>
    <row r="228" spans="1:5" x14ac:dyDescent="0.2">
      <c r="A228" s="83"/>
      <c r="B228" s="81"/>
      <c r="C228" s="81"/>
      <c r="D228" s="83"/>
      <c r="E228" s="83"/>
    </row>
    <row r="229" spans="1:5" x14ac:dyDescent="0.2">
      <c r="A229" s="83"/>
      <c r="B229" s="81"/>
      <c r="C229" s="81"/>
      <c r="D229" s="83"/>
      <c r="E229" s="83"/>
    </row>
    <row r="230" spans="1:5" x14ac:dyDescent="0.2">
      <c r="A230" s="83"/>
      <c r="B230" s="81"/>
      <c r="C230" s="81"/>
      <c r="D230" s="83"/>
      <c r="E230" s="83"/>
    </row>
    <row r="231" spans="1:5" x14ac:dyDescent="0.2">
      <c r="A231" s="83"/>
      <c r="B231" s="81"/>
      <c r="C231" s="81"/>
      <c r="D231" s="83"/>
      <c r="E231" s="83"/>
    </row>
    <row r="232" spans="1:5" x14ac:dyDescent="0.2">
      <c r="A232" s="83"/>
      <c r="B232" s="81"/>
      <c r="C232" s="81"/>
      <c r="D232" s="83"/>
      <c r="E232" s="83"/>
    </row>
    <row r="233" spans="1:5" x14ac:dyDescent="0.2">
      <c r="A233" s="83"/>
      <c r="B233" s="81"/>
      <c r="C233" s="81"/>
      <c r="D233" s="83"/>
      <c r="E233" s="83"/>
    </row>
    <row r="234" spans="1:5" x14ac:dyDescent="0.2">
      <c r="A234" s="83"/>
      <c r="B234" s="81"/>
      <c r="C234" s="81"/>
      <c r="D234" s="83"/>
      <c r="E234" s="83"/>
    </row>
    <row r="235" spans="1:5" x14ac:dyDescent="0.2">
      <c r="A235" s="83"/>
      <c r="B235" s="81"/>
      <c r="C235" s="81"/>
      <c r="D235" s="83"/>
      <c r="E235" s="83"/>
    </row>
    <row r="236" spans="1:5" x14ac:dyDescent="0.2">
      <c r="A236" s="83"/>
      <c r="B236" s="81"/>
      <c r="C236" s="81"/>
      <c r="D236" s="83"/>
      <c r="E236" s="83"/>
    </row>
    <row r="237" spans="1:5" x14ac:dyDescent="0.2">
      <c r="A237" s="83"/>
      <c r="B237" s="81"/>
      <c r="C237" s="81"/>
      <c r="D237" s="83"/>
      <c r="E237" s="83"/>
    </row>
    <row r="238" spans="1:5" x14ac:dyDescent="0.2">
      <c r="A238" s="83"/>
      <c r="B238" s="81"/>
      <c r="C238" s="81"/>
      <c r="D238" s="83"/>
      <c r="E238" s="83"/>
    </row>
    <row r="239" spans="1:5" x14ac:dyDescent="0.2">
      <c r="A239" s="83"/>
      <c r="B239" s="81"/>
      <c r="C239" s="81"/>
      <c r="D239" s="83"/>
      <c r="E239" s="83"/>
    </row>
    <row r="240" spans="1:5" x14ac:dyDescent="0.2">
      <c r="A240" s="83"/>
      <c r="B240" s="81"/>
      <c r="C240" s="81"/>
      <c r="D240" s="83"/>
      <c r="E240" s="83"/>
    </row>
    <row r="241" spans="1:5" x14ac:dyDescent="0.2">
      <c r="A241" s="83"/>
      <c r="B241" s="81"/>
      <c r="C241" s="81"/>
      <c r="D241" s="83"/>
      <c r="E241" s="83"/>
    </row>
    <row r="242" spans="1:5" x14ac:dyDescent="0.2">
      <c r="A242" s="83"/>
      <c r="B242" s="81"/>
      <c r="C242" s="81"/>
      <c r="D242" s="83"/>
      <c r="E242" s="83"/>
    </row>
    <row r="243" spans="1:5" x14ac:dyDescent="0.2">
      <c r="A243" s="83"/>
      <c r="B243" s="81"/>
      <c r="C243" s="81"/>
      <c r="D243" s="83"/>
      <c r="E243" s="83"/>
    </row>
    <row r="244" spans="1:5" x14ac:dyDescent="0.2">
      <c r="A244" s="83"/>
      <c r="B244" s="81"/>
      <c r="C244" s="81"/>
      <c r="D244" s="83"/>
      <c r="E244" s="83"/>
    </row>
    <row r="245" spans="1:5" x14ac:dyDescent="0.2">
      <c r="A245" s="83"/>
      <c r="B245" s="81"/>
      <c r="C245" s="81"/>
      <c r="D245" s="83"/>
      <c r="E245" s="83"/>
    </row>
    <row r="246" spans="1:5" x14ac:dyDescent="0.2">
      <c r="A246" s="83"/>
      <c r="B246" s="81"/>
      <c r="C246" s="81"/>
      <c r="D246" s="83"/>
      <c r="E246" s="83"/>
    </row>
    <row r="247" spans="1:5" x14ac:dyDescent="0.2">
      <c r="A247" s="83"/>
      <c r="B247" s="81"/>
      <c r="C247" s="81"/>
      <c r="D247" s="83"/>
      <c r="E247" s="83"/>
    </row>
    <row r="248" spans="1:5" x14ac:dyDescent="0.2">
      <c r="A248" s="83"/>
      <c r="B248" s="81"/>
      <c r="C248" s="81"/>
      <c r="D248" s="83"/>
      <c r="E248" s="83"/>
    </row>
    <row r="249" spans="1:5" x14ac:dyDescent="0.2">
      <c r="A249" s="83"/>
      <c r="B249" s="81"/>
      <c r="C249" s="81"/>
      <c r="D249" s="83"/>
      <c r="E249" s="83"/>
    </row>
    <row r="250" spans="1:5" x14ac:dyDescent="0.2">
      <c r="A250" s="83"/>
      <c r="B250" s="81"/>
      <c r="C250" s="81"/>
      <c r="D250" s="83"/>
      <c r="E250" s="83"/>
    </row>
    <row r="251" spans="1:5" x14ac:dyDescent="0.2">
      <c r="A251" s="83"/>
      <c r="B251" s="81"/>
      <c r="C251" s="81"/>
      <c r="D251" s="83"/>
      <c r="E251" s="83"/>
    </row>
    <row r="252" spans="1:5" x14ac:dyDescent="0.2">
      <c r="A252" s="83"/>
      <c r="B252" s="81"/>
      <c r="C252" s="81"/>
      <c r="D252" s="83"/>
      <c r="E252" s="83"/>
    </row>
    <row r="253" spans="1:5" x14ac:dyDescent="0.2">
      <c r="A253" s="83"/>
      <c r="B253" s="81"/>
      <c r="C253" s="81"/>
      <c r="D253" s="83"/>
      <c r="E253" s="83"/>
    </row>
    <row r="254" spans="1:5" x14ac:dyDescent="0.2">
      <c r="A254" s="83"/>
      <c r="B254" s="81"/>
      <c r="C254" s="81"/>
      <c r="D254" s="83"/>
      <c r="E254" s="83"/>
    </row>
    <row r="255" spans="1:5" x14ac:dyDescent="0.2">
      <c r="A255" s="83"/>
      <c r="B255" s="81"/>
      <c r="C255" s="81"/>
      <c r="D255" s="83"/>
      <c r="E255" s="83"/>
    </row>
    <row r="256" spans="1:5" x14ac:dyDescent="0.2">
      <c r="A256" s="83"/>
      <c r="B256" s="81"/>
      <c r="C256" s="81"/>
      <c r="D256" s="83"/>
      <c r="E256" s="83"/>
    </row>
    <row r="257" spans="1:5" x14ac:dyDescent="0.2">
      <c r="A257" s="83"/>
      <c r="B257" s="81"/>
      <c r="C257" s="81"/>
      <c r="D257" s="83"/>
      <c r="E257" s="83"/>
    </row>
    <row r="258" spans="1:5" x14ac:dyDescent="0.2">
      <c r="A258" s="83"/>
      <c r="B258" s="81"/>
      <c r="C258" s="81"/>
      <c r="D258" s="83"/>
      <c r="E258" s="83"/>
    </row>
    <row r="259" spans="1:5" x14ac:dyDescent="0.2">
      <c r="A259" s="83"/>
      <c r="B259" s="81"/>
      <c r="C259" s="81"/>
      <c r="D259" s="83"/>
      <c r="E259" s="83"/>
    </row>
    <row r="260" spans="1:5" x14ac:dyDescent="0.2">
      <c r="A260" s="83"/>
      <c r="B260" s="81"/>
      <c r="C260" s="81"/>
      <c r="D260" s="83"/>
      <c r="E260" s="83"/>
    </row>
    <row r="261" spans="1:5" x14ac:dyDescent="0.2">
      <c r="A261" s="83"/>
      <c r="B261" s="81"/>
      <c r="C261" s="81"/>
      <c r="D261" s="83"/>
      <c r="E261" s="83"/>
    </row>
    <row r="262" spans="1:5" x14ac:dyDescent="0.2">
      <c r="A262" s="83"/>
      <c r="B262" s="81"/>
      <c r="C262" s="81"/>
      <c r="D262" s="83"/>
      <c r="E262" s="83"/>
    </row>
    <row r="263" spans="1:5" x14ac:dyDescent="0.2">
      <c r="A263" s="83"/>
      <c r="B263" s="81"/>
      <c r="C263" s="81"/>
      <c r="D263" s="83"/>
      <c r="E263" s="83"/>
    </row>
    <row r="264" spans="1:5" x14ac:dyDescent="0.2">
      <c r="A264" s="83"/>
      <c r="B264" s="81"/>
      <c r="C264" s="81"/>
      <c r="D264" s="83"/>
      <c r="E264" s="83"/>
    </row>
    <row r="265" spans="1:5" x14ac:dyDescent="0.2">
      <c r="A265" s="83"/>
      <c r="B265" s="81"/>
      <c r="C265" s="81"/>
      <c r="D265" s="83"/>
      <c r="E265" s="83"/>
    </row>
    <row r="266" spans="1:5" x14ac:dyDescent="0.2">
      <c r="A266" s="83"/>
      <c r="B266" s="81"/>
      <c r="C266" s="81"/>
      <c r="D266" s="83"/>
      <c r="E266" s="83"/>
    </row>
    <row r="267" spans="1:5" x14ac:dyDescent="0.2">
      <c r="A267" s="83"/>
      <c r="B267" s="81"/>
      <c r="C267" s="81"/>
      <c r="D267" s="83"/>
      <c r="E267" s="83"/>
    </row>
    <row r="268" spans="1:5" x14ac:dyDescent="0.2">
      <c r="A268" s="83"/>
      <c r="B268" s="81"/>
      <c r="C268" s="81"/>
      <c r="D268" s="83"/>
      <c r="E268" s="83"/>
    </row>
    <row r="269" spans="1:5" x14ac:dyDescent="0.2">
      <c r="A269" s="83"/>
      <c r="B269" s="81"/>
      <c r="C269" s="81"/>
      <c r="D269" s="83"/>
      <c r="E269" s="83"/>
    </row>
    <row r="270" spans="1:5" x14ac:dyDescent="0.2">
      <c r="A270" s="83"/>
      <c r="B270" s="81"/>
      <c r="C270" s="81"/>
      <c r="D270" s="83"/>
      <c r="E270" s="83"/>
    </row>
    <row r="271" spans="1:5" x14ac:dyDescent="0.2">
      <c r="A271" s="83"/>
      <c r="B271" s="81"/>
      <c r="C271" s="81"/>
      <c r="D271" s="83"/>
      <c r="E271" s="83"/>
    </row>
    <row r="272" spans="1:5" x14ac:dyDescent="0.2">
      <c r="A272" s="83"/>
      <c r="B272" s="81"/>
      <c r="C272" s="81"/>
      <c r="D272" s="83"/>
      <c r="E272" s="83"/>
    </row>
    <row r="273" spans="1:5" x14ac:dyDescent="0.2">
      <c r="A273" s="83"/>
      <c r="B273" s="81"/>
      <c r="C273" s="81"/>
      <c r="D273" s="83"/>
      <c r="E273" s="83"/>
    </row>
    <row r="274" spans="1:5" x14ac:dyDescent="0.2">
      <c r="A274" s="83"/>
      <c r="B274" s="81"/>
      <c r="C274" s="81"/>
      <c r="D274" s="83"/>
      <c r="E274" s="83"/>
    </row>
  </sheetData>
  <mergeCells count="3">
    <mergeCell ref="A24:E24"/>
    <mergeCell ref="A1:E1"/>
    <mergeCell ref="A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vt:lpstr>
      <vt:lpstr>Calculations</vt:lpstr>
      <vt:lpstr>rainfall CIMIS</vt:lpstr>
      <vt:lpstr>Static Water Levels</vt:lpstr>
      <vt:lpstr>Water Usage by Water Year</vt:lpstr>
      <vt:lpstr>2013 Water Production</vt:lpstr>
      <vt:lpstr>2014 Water Production</vt:lpstr>
      <vt:lpstr>2015 Water Production</vt:lpstr>
      <vt:lpstr>Lost Production for 2013-2014</vt: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Bellissimo</dc:creator>
  <cp:lastModifiedBy>Christy Scott</cp:lastModifiedBy>
  <cp:lastPrinted>2016-06-21T22:35:56Z</cp:lastPrinted>
  <dcterms:created xsi:type="dcterms:W3CDTF">2016-06-20T17:26:48Z</dcterms:created>
  <dcterms:modified xsi:type="dcterms:W3CDTF">2016-06-21T23:41:38Z</dcterms:modified>
</cp:coreProperties>
</file>